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GMS-LICITACAO\EDITAIS\CONCORRÊNCIA\CA 12564 - ENERGIA ELÉTRICA\ARQUIVOS PORTAL\"/>
    </mc:Choice>
  </mc:AlternateContent>
  <bookViews>
    <workbookView xWindow="0" yWindow="0" windowWidth="24000" windowHeight="9000"/>
  </bookViews>
  <sheets>
    <sheet name="PERFIL DE USO" sheetId="1" r:id="rId1"/>
  </sheets>
  <definedNames>
    <definedName name="_xlnm.Print_Area" localSheetId="0">'PERFIL DE USO'!$A$1:$AQ$64</definedName>
    <definedName name="_xlnm.Print_Titles" localSheetId="0">'PERFIL DE USO'!$8:$8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6" i="1" l="1"/>
  <c r="AP63" i="1" l="1"/>
  <c r="AR63" i="1" s="1"/>
  <c r="AP62" i="1"/>
  <c r="AR62" i="1" s="1"/>
  <c r="AP61" i="1"/>
  <c r="AR61" i="1" s="1"/>
  <c r="AP60" i="1"/>
  <c r="AR60" i="1" s="1"/>
  <c r="AP59" i="1"/>
  <c r="AR59" i="1" s="1"/>
  <c r="AP58" i="1"/>
  <c r="AR58" i="1" s="1"/>
  <c r="AP57" i="1"/>
  <c r="AR57" i="1" s="1"/>
  <c r="AP56" i="1"/>
  <c r="AR56" i="1" s="1"/>
  <c r="AP55" i="1"/>
  <c r="AR55" i="1" s="1"/>
  <c r="AP54" i="1"/>
  <c r="AR54" i="1" s="1"/>
  <c r="AP53" i="1"/>
  <c r="AR53" i="1" s="1"/>
  <c r="AP52" i="1"/>
  <c r="AR52" i="1" s="1"/>
  <c r="AP51" i="1"/>
  <c r="AR51" i="1" s="1"/>
  <c r="AP50" i="1"/>
  <c r="AR50" i="1" s="1"/>
  <c r="AP49" i="1"/>
  <c r="AR49" i="1" s="1"/>
  <c r="AP48" i="1"/>
  <c r="AR48" i="1" s="1"/>
  <c r="AP47" i="1"/>
  <c r="AR47" i="1" s="1"/>
  <c r="AP46" i="1"/>
  <c r="AR46" i="1" s="1"/>
  <c r="AP45" i="1"/>
  <c r="AR45" i="1" s="1"/>
  <c r="AP44" i="1"/>
  <c r="AR44" i="1" s="1"/>
  <c r="AP43" i="1"/>
  <c r="AR43" i="1" s="1"/>
  <c r="AP42" i="1"/>
  <c r="AR42" i="1" s="1"/>
  <c r="AP41" i="1"/>
  <c r="AR41" i="1" s="1"/>
  <c r="AP40" i="1"/>
  <c r="AR40" i="1" s="1"/>
  <c r="AP39" i="1"/>
  <c r="AR39" i="1" s="1"/>
  <c r="AP38" i="1"/>
  <c r="AR38" i="1" s="1"/>
  <c r="AP37" i="1"/>
  <c r="AR37" i="1" s="1"/>
  <c r="AP36" i="1"/>
  <c r="AR36" i="1" s="1"/>
  <c r="AP35" i="1"/>
  <c r="AR35" i="1" s="1"/>
  <c r="AP34" i="1"/>
  <c r="AR34" i="1" s="1"/>
  <c r="AP33" i="1"/>
  <c r="AR33" i="1" s="1"/>
  <c r="AP32" i="1"/>
  <c r="AR32" i="1" s="1"/>
  <c r="AP31" i="1"/>
  <c r="AR31" i="1" s="1"/>
  <c r="AP30" i="1"/>
  <c r="AR30" i="1" s="1"/>
  <c r="AP29" i="1"/>
  <c r="AR29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P13" i="1"/>
  <c r="AR13" i="1" s="1"/>
  <c r="AP12" i="1"/>
  <c r="AR12" i="1" s="1"/>
  <c r="AP11" i="1"/>
  <c r="AR11" i="1" s="1"/>
  <c r="AP10" i="1"/>
  <c r="AR10" i="1" s="1"/>
  <c r="AP9" i="1"/>
  <c r="AR9" i="1" s="1"/>
  <c r="AD42" i="1" l="1"/>
  <c r="AC42" i="1"/>
  <c r="AD63" i="1" l="1"/>
  <c r="AC63" i="1"/>
  <c r="S63" i="1"/>
  <c r="W63" i="1"/>
  <c r="V63" i="1"/>
  <c r="Y63" i="1"/>
  <c r="T63" i="1"/>
  <c r="X63" i="1"/>
  <c r="R63" i="1"/>
  <c r="AB63" i="1"/>
  <c r="AA63" i="1"/>
  <c r="Z63" i="1"/>
  <c r="Q63" i="1"/>
  <c r="U63" i="1"/>
  <c r="AD62" i="1"/>
  <c r="AC62" i="1"/>
  <c r="W62" i="1"/>
  <c r="AA62" i="1"/>
  <c r="S62" i="1"/>
  <c r="Q62" i="1"/>
  <c r="Z62" i="1"/>
  <c r="T62" i="1"/>
  <c r="AB62" i="1"/>
  <c r="Y62" i="1"/>
  <c r="R62" i="1"/>
  <c r="X62" i="1"/>
  <c r="U62" i="1"/>
  <c r="V62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AD60" i="1"/>
  <c r="AC60" i="1"/>
  <c r="AB60" i="1"/>
  <c r="AA60" i="1"/>
  <c r="Z60" i="1"/>
  <c r="X60" i="1"/>
  <c r="W60" i="1"/>
  <c r="V60" i="1"/>
  <c r="U60" i="1"/>
  <c r="T60" i="1"/>
  <c r="S60" i="1"/>
  <c r="R60" i="1"/>
  <c r="Q60" i="1"/>
  <c r="AD59" i="1"/>
  <c r="AC59" i="1"/>
  <c r="AD57" i="1"/>
  <c r="AC57" i="1"/>
  <c r="AB59" i="1"/>
  <c r="AA59" i="1"/>
  <c r="Y59" i="1"/>
  <c r="Z59" i="1"/>
  <c r="X59" i="1"/>
  <c r="W59" i="1"/>
  <c r="V59" i="1"/>
  <c r="U59" i="1"/>
  <c r="T59" i="1"/>
  <c r="S59" i="1"/>
  <c r="R59" i="1"/>
  <c r="Q59" i="1"/>
  <c r="AB42" i="1"/>
  <c r="AA42" i="1"/>
  <c r="Z42" i="1"/>
  <c r="Y42" i="1"/>
  <c r="X42" i="1"/>
  <c r="W42" i="1"/>
  <c r="V42" i="1"/>
  <c r="AB58" i="1"/>
  <c r="AA58" i="1"/>
  <c r="Z58" i="1"/>
  <c r="Y58" i="1"/>
  <c r="X58" i="1"/>
  <c r="W58" i="1"/>
  <c r="V58" i="1"/>
  <c r="T58" i="1"/>
  <c r="S58" i="1"/>
  <c r="R58" i="1"/>
  <c r="Q58" i="1"/>
  <c r="K58" i="1"/>
  <c r="AD58" i="1" s="1"/>
  <c r="AD25" i="1"/>
  <c r="AC25" i="1"/>
  <c r="AA25" i="1"/>
  <c r="Z25" i="1"/>
  <c r="Y25" i="1"/>
  <c r="X25" i="1"/>
  <c r="V25" i="1"/>
  <c r="T25" i="1"/>
  <c r="S25" i="1"/>
  <c r="R25" i="1"/>
  <c r="Q25" i="1"/>
  <c r="AB57" i="1"/>
  <c r="AA57" i="1"/>
  <c r="Z57" i="1"/>
  <c r="Y57" i="1"/>
  <c r="X57" i="1"/>
  <c r="W57" i="1"/>
  <c r="Q57" i="1"/>
  <c r="S57" i="1"/>
  <c r="T57" i="1"/>
  <c r="U57" i="1"/>
  <c r="V57" i="1"/>
  <c r="AD56" i="1"/>
  <c r="AC56" i="1"/>
  <c r="AD53" i="1"/>
  <c r="AC53" i="1"/>
  <c r="AB56" i="1"/>
  <c r="AA56" i="1"/>
  <c r="Z56" i="1"/>
  <c r="Y56" i="1"/>
  <c r="X56" i="1"/>
  <c r="W56" i="1"/>
  <c r="V56" i="1"/>
  <c r="U56" i="1"/>
  <c r="T56" i="1"/>
  <c r="R56" i="1"/>
  <c r="Q56" i="1"/>
  <c r="W55" i="1"/>
  <c r="V55" i="1"/>
  <c r="X55" i="1"/>
  <c r="AA55" i="1"/>
  <c r="Z55" i="1"/>
  <c r="AB55" i="1"/>
  <c r="Y55" i="1"/>
  <c r="M55" i="1"/>
  <c r="U55" i="1"/>
  <c r="I55" i="1"/>
  <c r="T54" i="1"/>
  <c r="Z54" i="1"/>
  <c r="U54" i="1"/>
  <c r="AB54" i="1"/>
  <c r="S54" i="1"/>
  <c r="G54" i="1"/>
  <c r="Q54" i="1"/>
  <c r="AA54" i="1"/>
  <c r="O54" i="1"/>
  <c r="X54" i="1"/>
  <c r="L54" i="1"/>
  <c r="R54" i="1"/>
  <c r="V54" i="1"/>
  <c r="W54" i="1"/>
  <c r="AL55" i="1" l="1"/>
  <c r="AM55" i="1" s="1"/>
  <c r="AN55" i="1" s="1"/>
  <c r="AQ55" i="1" s="1"/>
  <c r="AS55" i="1" s="1"/>
  <c r="AE55" i="1"/>
  <c r="AF55" i="1"/>
  <c r="AL59" i="1"/>
  <c r="AM59" i="1" s="1"/>
  <c r="AN59" i="1" s="1"/>
  <c r="AQ59" i="1" s="1"/>
  <c r="AS59" i="1" s="1"/>
  <c r="AE59" i="1"/>
  <c r="AF59" i="1"/>
  <c r="AL42" i="1"/>
  <c r="AM42" i="1" s="1"/>
  <c r="AN42" i="1" s="1"/>
  <c r="AQ42" i="1" s="1"/>
  <c r="AS42" i="1" s="1"/>
  <c r="AE42" i="1"/>
  <c r="AF42" i="1"/>
  <c r="AL61" i="1"/>
  <c r="AM61" i="1" s="1"/>
  <c r="AN61" i="1" s="1"/>
  <c r="AQ61" i="1" s="1"/>
  <c r="AS61" i="1" s="1"/>
  <c r="AE61" i="1"/>
  <c r="AF61" i="1"/>
  <c r="AL54" i="1"/>
  <c r="AM54" i="1" s="1"/>
  <c r="AN54" i="1" s="1"/>
  <c r="AQ54" i="1" s="1"/>
  <c r="AS54" i="1" s="1"/>
  <c r="AF54" i="1"/>
  <c r="AE54" i="1"/>
  <c r="AL57" i="1"/>
  <c r="AM57" i="1" s="1"/>
  <c r="AN57" i="1" s="1"/>
  <c r="AQ57" i="1" s="1"/>
  <c r="AS57" i="1" s="1"/>
  <c r="AE57" i="1"/>
  <c r="AF57" i="1"/>
  <c r="AL62" i="1"/>
  <c r="AM62" i="1" s="1"/>
  <c r="AN62" i="1" s="1"/>
  <c r="AQ62" i="1" s="1"/>
  <c r="AS62" i="1" s="1"/>
  <c r="AE62" i="1"/>
  <c r="AF62" i="1"/>
  <c r="AL56" i="1"/>
  <c r="AM56" i="1" s="1"/>
  <c r="AN56" i="1" s="1"/>
  <c r="AQ56" i="1" s="1"/>
  <c r="AS56" i="1" s="1"/>
  <c r="AF56" i="1"/>
  <c r="AE56" i="1"/>
  <c r="AL60" i="1"/>
  <c r="AM60" i="1" s="1"/>
  <c r="AN60" i="1" s="1"/>
  <c r="AQ60" i="1" s="1"/>
  <c r="AS60" i="1" s="1"/>
  <c r="AF60" i="1"/>
  <c r="AE60" i="1"/>
  <c r="AL25" i="1"/>
  <c r="AM25" i="1" s="1"/>
  <c r="AN25" i="1" s="1"/>
  <c r="AQ25" i="1" s="1"/>
  <c r="AS25" i="1" s="1"/>
  <c r="AF25" i="1"/>
  <c r="AE25" i="1"/>
  <c r="AL58" i="1"/>
  <c r="AM58" i="1" s="1"/>
  <c r="AN58" i="1" s="1"/>
  <c r="AQ58" i="1" s="1"/>
  <c r="AS58" i="1" s="1"/>
  <c r="AE58" i="1"/>
  <c r="AF58" i="1"/>
  <c r="AL63" i="1"/>
  <c r="AM63" i="1" s="1"/>
  <c r="AN63" i="1" s="1"/>
  <c r="AQ63" i="1" s="1"/>
  <c r="AS63" i="1" s="1"/>
  <c r="AE63" i="1"/>
  <c r="AF63" i="1"/>
  <c r="AG60" i="1"/>
  <c r="AI60" i="1" s="1"/>
  <c r="AG57" i="1"/>
  <c r="AI57" i="1" s="1"/>
  <c r="AG42" i="1"/>
  <c r="AI42" i="1" s="1"/>
  <c r="AG59" i="1"/>
  <c r="AI59" i="1" s="1"/>
  <c r="AG61" i="1"/>
  <c r="AG62" i="1"/>
  <c r="AI62" i="1" s="1"/>
  <c r="AG63" i="1"/>
  <c r="AC55" i="1"/>
  <c r="AD55" i="1"/>
  <c r="AG55" i="1"/>
  <c r="AD54" i="1"/>
  <c r="AG54" i="1"/>
  <c r="AI54" i="1" s="1"/>
  <c r="AG25" i="1"/>
  <c r="AI25" i="1" s="1"/>
  <c r="AG58" i="1"/>
  <c r="AI58" i="1" s="1"/>
  <c r="AC54" i="1"/>
  <c r="AG56" i="1"/>
  <c r="AC58" i="1"/>
  <c r="AB53" i="1"/>
  <c r="Z53" i="1"/>
  <c r="Y53" i="1"/>
  <c r="X53" i="1"/>
  <c r="W53" i="1"/>
  <c r="V53" i="1"/>
  <c r="U53" i="1"/>
  <c r="T53" i="1"/>
  <c r="S53" i="1"/>
  <c r="R53" i="1"/>
  <c r="Q53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AA49" i="1"/>
  <c r="N49" i="1"/>
  <c r="AD49" i="1" s="1"/>
  <c r="X49" i="1"/>
  <c r="U49" i="1"/>
  <c r="V49" i="1"/>
  <c r="S49" i="1"/>
  <c r="T49" i="1"/>
  <c r="W49" i="1"/>
  <c r="R49" i="1"/>
  <c r="Z49" i="1"/>
  <c r="AB49" i="1"/>
  <c r="Q49" i="1"/>
  <c r="Y49" i="1"/>
  <c r="R48" i="1"/>
  <c r="Y48" i="1"/>
  <c r="V48" i="1"/>
  <c r="T48" i="1"/>
  <c r="H48" i="1"/>
  <c r="U48" i="1"/>
  <c r="W48" i="1"/>
  <c r="X48" i="1"/>
  <c r="Q48" i="1"/>
  <c r="Z48" i="1"/>
  <c r="AA48" i="1"/>
  <c r="S48" i="1"/>
  <c r="G48" i="1"/>
  <c r="AD48" i="1" s="1"/>
  <c r="AD47" i="1"/>
  <c r="AC47" i="1"/>
  <c r="AB47" i="1"/>
  <c r="Z47" i="1"/>
  <c r="Y47" i="1"/>
  <c r="X47" i="1"/>
  <c r="W47" i="1"/>
  <c r="U47" i="1"/>
  <c r="T47" i="1"/>
  <c r="S47" i="1"/>
  <c r="R47" i="1"/>
  <c r="Q47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AB43" i="1"/>
  <c r="AA43" i="1"/>
  <c r="Z43" i="1"/>
  <c r="N43" i="1"/>
  <c r="AC43" i="1" s="1"/>
  <c r="X43" i="1"/>
  <c r="W43" i="1"/>
  <c r="V43" i="1"/>
  <c r="U43" i="1"/>
  <c r="T43" i="1"/>
  <c r="S43" i="1"/>
  <c r="R43" i="1"/>
  <c r="Q43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AD38" i="1"/>
  <c r="AC38" i="1"/>
  <c r="AB38" i="1"/>
  <c r="Z38" i="1"/>
  <c r="AA38" i="1"/>
  <c r="Q38" i="1"/>
  <c r="R38" i="1"/>
  <c r="S38" i="1"/>
  <c r="T38" i="1"/>
  <c r="U38" i="1"/>
  <c r="V38" i="1"/>
  <c r="W38" i="1"/>
  <c r="X38" i="1"/>
  <c r="Y38" i="1"/>
  <c r="U37" i="1"/>
  <c r="X37" i="1"/>
  <c r="Q37" i="1"/>
  <c r="Y37" i="1"/>
  <c r="AB37" i="1"/>
  <c r="T37" i="1"/>
  <c r="W37" i="1"/>
  <c r="V37" i="1"/>
  <c r="J37" i="1"/>
  <c r="AD37" i="1" s="1"/>
  <c r="R37" i="1"/>
  <c r="Z37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AD34" i="1"/>
  <c r="AC34" i="1"/>
  <c r="AD33" i="1"/>
  <c r="AC33" i="1"/>
  <c r="AB35" i="1"/>
  <c r="AA35" i="1"/>
  <c r="O35" i="1"/>
  <c r="AD35" i="1" s="1"/>
  <c r="Z35" i="1"/>
  <c r="Y35" i="1"/>
  <c r="X35" i="1"/>
  <c r="W35" i="1"/>
  <c r="V35" i="1"/>
  <c r="U35" i="1"/>
  <c r="Q35" i="1"/>
  <c r="T35" i="1"/>
  <c r="W34" i="1"/>
  <c r="Y34" i="1"/>
  <c r="Z34" i="1"/>
  <c r="AA34" i="1"/>
  <c r="AB34" i="1"/>
  <c r="V34" i="1"/>
  <c r="U34" i="1"/>
  <c r="S34" i="1"/>
  <c r="R34" i="1"/>
  <c r="Q34" i="1"/>
  <c r="AB33" i="1"/>
  <c r="Y33" i="1"/>
  <c r="X33" i="1"/>
  <c r="W33" i="1"/>
  <c r="V33" i="1"/>
  <c r="U33" i="1"/>
  <c r="T33" i="1"/>
  <c r="S33" i="1"/>
  <c r="R33" i="1"/>
  <c r="Q33" i="1"/>
  <c r="AD32" i="1"/>
  <c r="AC32" i="1"/>
  <c r="AB32" i="1"/>
  <c r="Z32" i="1"/>
  <c r="X32" i="1"/>
  <c r="W32" i="1"/>
  <c r="V32" i="1"/>
  <c r="U32" i="1"/>
  <c r="T32" i="1"/>
  <c r="S32" i="1"/>
  <c r="R32" i="1"/>
  <c r="Q32" i="1"/>
  <c r="AB31" i="1"/>
  <c r="AC31" i="1"/>
  <c r="AD31" i="1"/>
  <c r="AA31" i="1"/>
  <c r="X31" i="1"/>
  <c r="Z31" i="1"/>
  <c r="Y31" i="1"/>
  <c r="W31" i="1"/>
  <c r="V31" i="1"/>
  <c r="U31" i="1"/>
  <c r="T31" i="1"/>
  <c r="S31" i="1"/>
  <c r="R31" i="1"/>
  <c r="Q31" i="1"/>
  <c r="AD30" i="1"/>
  <c r="AC30" i="1"/>
  <c r="AD29" i="1"/>
  <c r="AC29" i="1"/>
  <c r="AB30" i="1"/>
  <c r="AA30" i="1"/>
  <c r="Z30" i="1"/>
  <c r="Y30" i="1"/>
  <c r="W30" i="1"/>
  <c r="V30" i="1"/>
  <c r="U30" i="1"/>
  <c r="T30" i="1"/>
  <c r="S30" i="1"/>
  <c r="R30" i="1"/>
  <c r="Q30" i="1"/>
  <c r="R29" i="1"/>
  <c r="S29" i="1"/>
  <c r="T29" i="1"/>
  <c r="U29" i="1"/>
  <c r="V29" i="1"/>
  <c r="W29" i="1"/>
  <c r="X29" i="1"/>
  <c r="Y29" i="1"/>
  <c r="Z29" i="1"/>
  <c r="AA29" i="1"/>
  <c r="AB29" i="1"/>
  <c r="AD28" i="1"/>
  <c r="AC28" i="1"/>
  <c r="AA28" i="1"/>
  <c r="AB28" i="1"/>
  <c r="Z28" i="1"/>
  <c r="Y28" i="1"/>
  <c r="X28" i="1"/>
  <c r="W28" i="1"/>
  <c r="V28" i="1"/>
  <c r="U28" i="1"/>
  <c r="T28" i="1"/>
  <c r="S28" i="1"/>
  <c r="R28" i="1"/>
  <c r="Q28" i="1"/>
  <c r="S27" i="1"/>
  <c r="AA27" i="1"/>
  <c r="R27" i="1"/>
  <c r="AB27" i="1"/>
  <c r="U27" i="1"/>
  <c r="X27" i="1"/>
  <c r="V27" i="1"/>
  <c r="J27" i="1"/>
  <c r="AD27" i="1" s="1"/>
  <c r="T27" i="1"/>
  <c r="W27" i="1"/>
  <c r="Z27" i="1"/>
  <c r="Y27" i="1"/>
  <c r="Q27" i="1"/>
  <c r="AD26" i="1"/>
  <c r="AC26" i="1"/>
  <c r="T26" i="1"/>
  <c r="Y26" i="1"/>
  <c r="Z26" i="1"/>
  <c r="V26" i="1"/>
  <c r="S26" i="1"/>
  <c r="Q26" i="1"/>
  <c r="X26" i="1"/>
  <c r="R26" i="1"/>
  <c r="W26" i="1"/>
  <c r="AA26" i="1"/>
  <c r="U26" i="1"/>
  <c r="AD24" i="1"/>
  <c r="AC24" i="1"/>
  <c r="T24" i="1"/>
  <c r="U24" i="1"/>
  <c r="V24" i="1"/>
  <c r="R24" i="1"/>
  <c r="Q24" i="1"/>
  <c r="Z24" i="1"/>
  <c r="S24" i="1"/>
  <c r="Y24" i="1"/>
  <c r="X24" i="1"/>
  <c r="W24" i="1"/>
  <c r="AA24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AD22" i="1"/>
  <c r="AC22" i="1"/>
  <c r="AB22" i="1"/>
  <c r="AA22" i="1"/>
  <c r="Z22" i="1"/>
  <c r="Y22" i="1"/>
  <c r="X22" i="1"/>
  <c r="W22" i="1"/>
  <c r="T22" i="1"/>
  <c r="S22" i="1"/>
  <c r="AB21" i="1"/>
  <c r="Z21" i="1"/>
  <c r="N21" i="1"/>
  <c r="AC21" i="1" s="1"/>
  <c r="X21" i="1"/>
  <c r="W21" i="1"/>
  <c r="V21" i="1"/>
  <c r="U21" i="1"/>
  <c r="T21" i="1"/>
  <c r="S21" i="1"/>
  <c r="R21" i="1"/>
  <c r="Q21" i="1"/>
  <c r="AD20" i="1"/>
  <c r="AC20" i="1"/>
  <c r="AD19" i="1"/>
  <c r="AC19" i="1"/>
  <c r="AD18" i="1"/>
  <c r="AC18" i="1"/>
  <c r="AB20" i="1"/>
  <c r="Z20" i="1"/>
  <c r="Y20" i="1"/>
  <c r="X20" i="1"/>
  <c r="W20" i="1"/>
  <c r="V20" i="1"/>
  <c r="U20" i="1"/>
  <c r="T20" i="1"/>
  <c r="S20" i="1"/>
  <c r="R20" i="1"/>
  <c r="Q20" i="1"/>
  <c r="W19" i="1"/>
  <c r="X19" i="1"/>
  <c r="V19" i="1"/>
  <c r="U19" i="1"/>
  <c r="T19" i="1"/>
  <c r="S19" i="1"/>
  <c r="R19" i="1"/>
  <c r="Q19" i="1"/>
  <c r="X18" i="1"/>
  <c r="W18" i="1"/>
  <c r="V18" i="1"/>
  <c r="U18" i="1"/>
  <c r="T18" i="1"/>
  <c r="S18" i="1"/>
  <c r="R18" i="1"/>
  <c r="Q18" i="1"/>
  <c r="AI56" i="1" l="1"/>
  <c r="AT25" i="1"/>
  <c r="AT57" i="1"/>
  <c r="AT59" i="1"/>
  <c r="AT58" i="1"/>
  <c r="AT62" i="1"/>
  <c r="AT42" i="1"/>
  <c r="AT63" i="1"/>
  <c r="AT56" i="1"/>
  <c r="AT61" i="1"/>
  <c r="AT60" i="1"/>
  <c r="AT54" i="1"/>
  <c r="AT55" i="1"/>
  <c r="AL28" i="1"/>
  <c r="AM28" i="1" s="1"/>
  <c r="AN28" i="1" s="1"/>
  <c r="AQ28" i="1" s="1"/>
  <c r="AS28" i="1" s="1"/>
  <c r="AE28" i="1"/>
  <c r="AF28" i="1"/>
  <c r="AL22" i="1"/>
  <c r="AM22" i="1" s="1"/>
  <c r="AN22" i="1" s="1"/>
  <c r="AQ22" i="1" s="1"/>
  <c r="AS22" i="1" s="1"/>
  <c r="AF22" i="1"/>
  <c r="AE22" i="1"/>
  <c r="AL36" i="1"/>
  <c r="AM36" i="1" s="1"/>
  <c r="AN36" i="1" s="1"/>
  <c r="AQ36" i="1" s="1"/>
  <c r="AS36" i="1" s="1"/>
  <c r="AF36" i="1"/>
  <c r="AE36" i="1"/>
  <c r="AI63" i="1"/>
  <c r="AJ54" i="1"/>
  <c r="AH54" i="1"/>
  <c r="AH61" i="1"/>
  <c r="AJ61" i="1"/>
  <c r="AL21" i="1"/>
  <c r="AM21" i="1" s="1"/>
  <c r="AN21" i="1" s="1"/>
  <c r="AQ21" i="1" s="1"/>
  <c r="AS21" i="1" s="1"/>
  <c r="AF21" i="1"/>
  <c r="AE21" i="1"/>
  <c r="AL32" i="1"/>
  <c r="AM32" i="1" s="1"/>
  <c r="AN32" i="1" s="1"/>
  <c r="AQ32" i="1" s="1"/>
  <c r="AS32" i="1" s="1"/>
  <c r="AE32" i="1"/>
  <c r="AF32" i="1"/>
  <c r="AL33" i="1"/>
  <c r="AM33" i="1" s="1"/>
  <c r="AN33" i="1" s="1"/>
  <c r="AQ33" i="1" s="1"/>
  <c r="AS33" i="1" s="1"/>
  <c r="AE33" i="1"/>
  <c r="AF33" i="1"/>
  <c r="AL38" i="1"/>
  <c r="AM38" i="1" s="1"/>
  <c r="AN38" i="1" s="1"/>
  <c r="AQ38" i="1" s="1"/>
  <c r="AS38" i="1" s="1"/>
  <c r="AE38" i="1"/>
  <c r="AF38" i="1"/>
  <c r="AL40" i="1"/>
  <c r="AM40" i="1" s="1"/>
  <c r="AN40" i="1" s="1"/>
  <c r="AQ40" i="1" s="1"/>
  <c r="AS40" i="1" s="1"/>
  <c r="AF40" i="1"/>
  <c r="AE40" i="1"/>
  <c r="AL43" i="1"/>
  <c r="AM43" i="1" s="1"/>
  <c r="AN43" i="1" s="1"/>
  <c r="AQ43" i="1" s="1"/>
  <c r="AS43" i="1" s="1"/>
  <c r="AE43" i="1"/>
  <c r="AF43" i="1"/>
  <c r="AL44" i="1"/>
  <c r="AM44" i="1" s="1"/>
  <c r="AN44" i="1" s="1"/>
  <c r="AQ44" i="1" s="1"/>
  <c r="AS44" i="1" s="1"/>
  <c r="AF44" i="1"/>
  <c r="AE44" i="1"/>
  <c r="AL46" i="1"/>
  <c r="AM46" i="1" s="1"/>
  <c r="AN46" i="1" s="1"/>
  <c r="AQ46" i="1" s="1"/>
  <c r="AS46" i="1" s="1"/>
  <c r="AF46" i="1"/>
  <c r="AE46" i="1"/>
  <c r="AL49" i="1"/>
  <c r="AM49" i="1" s="1"/>
  <c r="AN49" i="1" s="1"/>
  <c r="AQ49" i="1" s="1"/>
  <c r="AS49" i="1" s="1"/>
  <c r="AE49" i="1"/>
  <c r="AF49" i="1"/>
  <c r="AL50" i="1"/>
  <c r="AM50" i="1" s="1"/>
  <c r="AN50" i="1" s="1"/>
  <c r="AQ50" i="1" s="1"/>
  <c r="AS50" i="1" s="1"/>
  <c r="AF50" i="1"/>
  <c r="AE50" i="1"/>
  <c r="AL52" i="1"/>
  <c r="AE52" i="1"/>
  <c r="AF52" i="1"/>
  <c r="AI55" i="1"/>
  <c r="AH25" i="1"/>
  <c r="AJ25" i="1"/>
  <c r="AJ55" i="1"/>
  <c r="AH55" i="1"/>
  <c r="AL29" i="1"/>
  <c r="AM29" i="1" s="1"/>
  <c r="AN29" i="1" s="1"/>
  <c r="AQ29" i="1" s="1"/>
  <c r="AS29" i="1" s="1"/>
  <c r="AE29" i="1"/>
  <c r="AF29" i="1"/>
  <c r="AL31" i="1"/>
  <c r="AM31" i="1" s="1"/>
  <c r="AN31" i="1" s="1"/>
  <c r="AQ31" i="1" s="1"/>
  <c r="AS31" i="1" s="1"/>
  <c r="AE31" i="1"/>
  <c r="AF31" i="1"/>
  <c r="AL34" i="1"/>
  <c r="AM34" i="1" s="1"/>
  <c r="AN34" i="1" s="1"/>
  <c r="AQ34" i="1" s="1"/>
  <c r="AS34" i="1" s="1"/>
  <c r="AF34" i="1"/>
  <c r="AE34" i="1"/>
  <c r="AL39" i="1"/>
  <c r="AM39" i="1" s="1"/>
  <c r="AN39" i="1" s="1"/>
  <c r="AQ39" i="1" s="1"/>
  <c r="AS39" i="1" s="1"/>
  <c r="AE39" i="1"/>
  <c r="AF39" i="1"/>
  <c r="AL41" i="1"/>
  <c r="AM41" i="1" s="1"/>
  <c r="AN41" i="1" s="1"/>
  <c r="AQ41" i="1" s="1"/>
  <c r="AS41" i="1" s="1"/>
  <c r="AE41" i="1"/>
  <c r="AF41" i="1"/>
  <c r="AL45" i="1"/>
  <c r="AM45" i="1" s="1"/>
  <c r="AN45" i="1" s="1"/>
  <c r="AQ45" i="1" s="1"/>
  <c r="AS45" i="1" s="1"/>
  <c r="AE45" i="1"/>
  <c r="AF45" i="1"/>
  <c r="AL47" i="1"/>
  <c r="AM47" i="1" s="1"/>
  <c r="AN47" i="1" s="1"/>
  <c r="AQ47" i="1" s="1"/>
  <c r="AS47" i="1" s="1"/>
  <c r="AE47" i="1"/>
  <c r="AF47" i="1"/>
  <c r="AL48" i="1"/>
  <c r="AM48" i="1" s="1"/>
  <c r="AN48" i="1" s="1"/>
  <c r="AQ48" i="1" s="1"/>
  <c r="AS48" i="1" s="1"/>
  <c r="AE48" i="1"/>
  <c r="AF48" i="1"/>
  <c r="AL51" i="1"/>
  <c r="AM51" i="1" s="1"/>
  <c r="AN51" i="1" s="1"/>
  <c r="AQ51" i="1" s="1"/>
  <c r="AS51" i="1" s="1"/>
  <c r="AE51" i="1"/>
  <c r="AF51" i="1"/>
  <c r="AL53" i="1"/>
  <c r="AM53" i="1" s="1"/>
  <c r="AN53" i="1" s="1"/>
  <c r="AQ53" i="1" s="1"/>
  <c r="AS53" i="1" s="1"/>
  <c r="AE53" i="1"/>
  <c r="AF53" i="1"/>
  <c r="AJ58" i="1"/>
  <c r="AH58" i="1"/>
  <c r="AJ56" i="1"/>
  <c r="AH56" i="1"/>
  <c r="AJ62" i="1"/>
  <c r="AH62" i="1"/>
  <c r="AJ42" i="1"/>
  <c r="AH42" i="1"/>
  <c r="AL18" i="1"/>
  <c r="AE18" i="1"/>
  <c r="AF18" i="1"/>
  <c r="AL19" i="1"/>
  <c r="AF19" i="1"/>
  <c r="AE19" i="1"/>
  <c r="AL20" i="1"/>
  <c r="AM20" i="1" s="1"/>
  <c r="AN20" i="1" s="1"/>
  <c r="AQ20" i="1" s="1"/>
  <c r="AS20" i="1" s="1"/>
  <c r="AF20" i="1"/>
  <c r="AE20" i="1"/>
  <c r="AL30" i="1"/>
  <c r="AM30" i="1" s="1"/>
  <c r="AN30" i="1" s="1"/>
  <c r="AQ30" i="1" s="1"/>
  <c r="AS30" i="1" s="1"/>
  <c r="AF30" i="1"/>
  <c r="AE30" i="1"/>
  <c r="AJ63" i="1"/>
  <c r="AH63" i="1"/>
  <c r="AJ60" i="1"/>
  <c r="AH60" i="1"/>
  <c r="AL23" i="1"/>
  <c r="AM23" i="1" s="1"/>
  <c r="AN23" i="1" s="1"/>
  <c r="AQ23" i="1" s="1"/>
  <c r="AS23" i="1" s="1"/>
  <c r="AF23" i="1"/>
  <c r="AE23" i="1"/>
  <c r="AL24" i="1"/>
  <c r="AM24" i="1" s="1"/>
  <c r="AN24" i="1" s="1"/>
  <c r="AQ24" i="1" s="1"/>
  <c r="AS24" i="1" s="1"/>
  <c r="AF24" i="1"/>
  <c r="AE24" i="1"/>
  <c r="AL26" i="1"/>
  <c r="AF26" i="1"/>
  <c r="AE26" i="1"/>
  <c r="AL27" i="1"/>
  <c r="AM27" i="1" s="1"/>
  <c r="AN27" i="1" s="1"/>
  <c r="AQ27" i="1" s="1"/>
  <c r="AS27" i="1" s="1"/>
  <c r="AE27" i="1"/>
  <c r="AF27" i="1"/>
  <c r="AL35" i="1"/>
  <c r="AM35" i="1" s="1"/>
  <c r="AN35" i="1" s="1"/>
  <c r="AQ35" i="1" s="1"/>
  <c r="AS35" i="1" s="1"/>
  <c r="AE35" i="1"/>
  <c r="AF35" i="1"/>
  <c r="AL37" i="1"/>
  <c r="AM37" i="1" s="1"/>
  <c r="AN37" i="1" s="1"/>
  <c r="AQ37" i="1" s="1"/>
  <c r="AS37" i="1" s="1"/>
  <c r="AE37" i="1"/>
  <c r="AF37" i="1"/>
  <c r="AI61" i="1"/>
  <c r="AH57" i="1"/>
  <c r="AJ57" i="1"/>
  <c r="AJ59" i="1"/>
  <c r="AH59" i="1"/>
  <c r="AG23" i="1"/>
  <c r="AG30" i="1"/>
  <c r="AG36" i="1"/>
  <c r="AI36" i="1" s="1"/>
  <c r="AG39" i="1"/>
  <c r="AD43" i="1"/>
  <c r="AG20" i="1"/>
  <c r="AG27" i="1"/>
  <c r="AI27" i="1" s="1"/>
  <c r="AG29" i="1"/>
  <c r="AI29" i="1" s="1"/>
  <c r="AG32" i="1"/>
  <c r="AG33" i="1"/>
  <c r="AI33" i="1" s="1"/>
  <c r="AG34" i="1"/>
  <c r="AI34" i="1" s="1"/>
  <c r="AG38" i="1"/>
  <c r="AC37" i="1"/>
  <c r="AG43" i="1"/>
  <c r="AG44" i="1"/>
  <c r="AG46" i="1"/>
  <c r="AI46" i="1" s="1"/>
  <c r="AG49" i="1"/>
  <c r="AI49" i="1" s="1"/>
  <c r="AG50" i="1"/>
  <c r="AI50" i="1" s="1"/>
  <c r="AC49" i="1"/>
  <c r="AG52" i="1"/>
  <c r="AI52" i="1" s="1"/>
  <c r="AG18" i="1"/>
  <c r="AG19" i="1"/>
  <c r="AI19" i="1" s="1"/>
  <c r="AG21" i="1"/>
  <c r="AI21" i="1" s="1"/>
  <c r="AG22" i="1"/>
  <c r="AI22" i="1" s="1"/>
  <c r="AG26" i="1"/>
  <c r="AI26" i="1" s="1"/>
  <c r="AG35" i="1"/>
  <c r="AG40" i="1"/>
  <c r="AI40" i="1" s="1"/>
  <c r="AG41" i="1"/>
  <c r="AG51" i="1"/>
  <c r="AG24" i="1"/>
  <c r="AI24" i="1" s="1"/>
  <c r="AG28" i="1"/>
  <c r="AG31" i="1"/>
  <c r="AG37" i="1"/>
  <c r="AG45" i="1"/>
  <c r="AG47" i="1"/>
  <c r="AI47" i="1" s="1"/>
  <c r="AG48" i="1"/>
  <c r="AC35" i="1"/>
  <c r="AC48" i="1"/>
  <c r="AG53" i="1"/>
  <c r="AD21" i="1"/>
  <c r="AC27" i="1"/>
  <c r="AD17" i="1"/>
  <c r="AC17" i="1"/>
  <c r="AB17" i="1"/>
  <c r="AA17" i="1"/>
  <c r="Y17" i="1"/>
  <c r="Z17" i="1"/>
  <c r="X17" i="1"/>
  <c r="V17" i="1"/>
  <c r="W17" i="1"/>
  <c r="R17" i="1"/>
  <c r="U17" i="1"/>
  <c r="T17" i="1"/>
  <c r="S17" i="1"/>
  <c r="Q17" i="1"/>
  <c r="AD16" i="1"/>
  <c r="AC16" i="1"/>
  <c r="AB16" i="1"/>
  <c r="AA16" i="1"/>
  <c r="Y16" i="1"/>
  <c r="Z16" i="1"/>
  <c r="W16" i="1"/>
  <c r="X16" i="1"/>
  <c r="V16" i="1"/>
  <c r="U16" i="1"/>
  <c r="T16" i="1"/>
  <c r="S16" i="1"/>
  <c r="R16" i="1"/>
  <c r="Q16" i="1"/>
  <c r="AD15" i="1"/>
  <c r="AC15" i="1"/>
  <c r="AB15" i="1"/>
  <c r="AA15" i="1"/>
  <c r="Z15" i="1"/>
  <c r="X15" i="1"/>
  <c r="Y15" i="1"/>
  <c r="W15" i="1"/>
  <c r="V15" i="1"/>
  <c r="U15" i="1"/>
  <c r="T15" i="1"/>
  <c r="S15" i="1"/>
  <c r="R15" i="1"/>
  <c r="Q15" i="1"/>
  <c r="AM26" i="1" l="1"/>
  <c r="AN26" i="1" s="1"/>
  <c r="AQ26" i="1" s="1"/>
  <c r="AS26" i="1" s="1"/>
  <c r="AI53" i="1"/>
  <c r="AI28" i="1"/>
  <c r="AI44" i="1"/>
  <c r="AM18" i="1"/>
  <c r="AN18" i="1" s="1"/>
  <c r="AQ18" i="1" s="1"/>
  <c r="AS18" i="1" s="1"/>
  <c r="AT19" i="1"/>
  <c r="AM19" i="1"/>
  <c r="AN19" i="1" s="1"/>
  <c r="AQ19" i="1" s="1"/>
  <c r="AS19" i="1" s="1"/>
  <c r="AI41" i="1"/>
  <c r="AI38" i="1"/>
  <c r="AM52" i="1"/>
  <c r="AN52" i="1" s="1"/>
  <c r="AQ52" i="1" s="1"/>
  <c r="AS52" i="1" s="1"/>
  <c r="AT37" i="1"/>
  <c r="AT43" i="1"/>
  <c r="AT27" i="1"/>
  <c r="AT30" i="1"/>
  <c r="AT53" i="1"/>
  <c r="AT45" i="1"/>
  <c r="AT31" i="1"/>
  <c r="AT46" i="1"/>
  <c r="AT38" i="1"/>
  <c r="AT22" i="1"/>
  <c r="AT35" i="1"/>
  <c r="AT23" i="1"/>
  <c r="AT47" i="1"/>
  <c r="AT34" i="1"/>
  <c r="AT49" i="1"/>
  <c r="AT40" i="1"/>
  <c r="AT21" i="1"/>
  <c r="AT36" i="1"/>
  <c r="AT24" i="1"/>
  <c r="AT48" i="1"/>
  <c r="AT39" i="1"/>
  <c r="AT50" i="1"/>
  <c r="AT32" i="1"/>
  <c r="AT20" i="1"/>
  <c r="AT41" i="1"/>
  <c r="AT29" i="1"/>
  <c r="AT44" i="1"/>
  <c r="AT33" i="1"/>
  <c r="AT28" i="1"/>
  <c r="AT51" i="1"/>
  <c r="AJ19" i="1"/>
  <c r="AI45" i="1"/>
  <c r="AI20" i="1"/>
  <c r="AI31" i="1"/>
  <c r="AJ26" i="1"/>
  <c r="AI48" i="1"/>
  <c r="AI39" i="1"/>
  <c r="AL15" i="1"/>
  <c r="AM15" i="1" s="1"/>
  <c r="AN15" i="1" s="1"/>
  <c r="AQ15" i="1" s="1"/>
  <c r="AS15" i="1" s="1"/>
  <c r="AE15" i="1"/>
  <c r="AF15" i="1"/>
  <c r="AL17" i="1"/>
  <c r="AM17" i="1" s="1"/>
  <c r="AN17" i="1" s="1"/>
  <c r="AQ17" i="1" s="1"/>
  <c r="AS17" i="1" s="1"/>
  <c r="AF17" i="1"/>
  <c r="AE17" i="1"/>
  <c r="AJ50" i="1"/>
  <c r="AH50" i="1"/>
  <c r="AJ35" i="1"/>
  <c r="AH35" i="1"/>
  <c r="AJ47" i="1"/>
  <c r="AH47" i="1"/>
  <c r="AH49" i="1"/>
  <c r="AJ49" i="1"/>
  <c r="AI43" i="1"/>
  <c r="AJ48" i="1"/>
  <c r="AH48" i="1"/>
  <c r="AJ39" i="1"/>
  <c r="AH39" i="1"/>
  <c r="AJ44" i="1"/>
  <c r="AH44" i="1"/>
  <c r="AJ43" i="1"/>
  <c r="AH43" i="1"/>
  <c r="AJ32" i="1"/>
  <c r="AH32" i="1"/>
  <c r="AJ24" i="1"/>
  <c r="AH24" i="1"/>
  <c r="AJ18" i="1"/>
  <c r="AH18" i="1"/>
  <c r="AI35" i="1"/>
  <c r="AI30" i="1"/>
  <c r="AH37" i="1"/>
  <c r="AJ37" i="1"/>
  <c r="AJ20" i="1"/>
  <c r="AH20" i="1"/>
  <c r="AH19" i="1"/>
  <c r="AL16" i="1"/>
  <c r="AM16" i="1" s="1"/>
  <c r="AN16" i="1" s="1"/>
  <c r="AQ16" i="1" s="1"/>
  <c r="AS16" i="1" s="1"/>
  <c r="AE16" i="1"/>
  <c r="AF16" i="1"/>
  <c r="AI37" i="1"/>
  <c r="AI51" i="1"/>
  <c r="AI18" i="1"/>
  <c r="AI32" i="1"/>
  <c r="AI23" i="1"/>
  <c r="AH26" i="1"/>
  <c r="AJ30" i="1"/>
  <c r="AH30" i="1"/>
  <c r="AJ51" i="1"/>
  <c r="AH51" i="1"/>
  <c r="AH41" i="1"/>
  <c r="AJ41" i="1"/>
  <c r="AH29" i="1"/>
  <c r="AJ29" i="1"/>
  <c r="AJ52" i="1"/>
  <c r="AH52" i="1"/>
  <c r="AJ46" i="1"/>
  <c r="AH46" i="1"/>
  <c r="AH33" i="1"/>
  <c r="AJ33" i="1"/>
  <c r="AJ22" i="1"/>
  <c r="AH22" i="1"/>
  <c r="AJ28" i="1"/>
  <c r="AH28" i="1"/>
  <c r="AJ27" i="1"/>
  <c r="AH27" i="1"/>
  <c r="AH23" i="1"/>
  <c r="AJ23" i="1"/>
  <c r="AH53" i="1"/>
  <c r="AJ53" i="1"/>
  <c r="AH45" i="1"/>
  <c r="AJ45" i="1"/>
  <c r="AJ34" i="1"/>
  <c r="AH34" i="1"/>
  <c r="AJ31" i="1"/>
  <c r="AH31" i="1"/>
  <c r="AJ40" i="1"/>
  <c r="AH40" i="1"/>
  <c r="AJ38" i="1"/>
  <c r="AH38" i="1"/>
  <c r="AH21" i="1"/>
  <c r="AJ21" i="1"/>
  <c r="AJ36" i="1"/>
  <c r="AH36" i="1"/>
  <c r="AG16" i="1"/>
  <c r="AI16" i="1" s="1"/>
  <c r="AG15" i="1"/>
  <c r="AI15" i="1" s="1"/>
  <c r="AG17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AD13" i="1"/>
  <c r="AC13" i="1"/>
  <c r="AB13" i="1"/>
  <c r="AA13" i="1"/>
  <c r="Z13" i="1"/>
  <c r="U13" i="1"/>
  <c r="Y13" i="1"/>
  <c r="X13" i="1"/>
  <c r="W13" i="1"/>
  <c r="V13" i="1"/>
  <c r="T13" i="1"/>
  <c r="S13" i="1"/>
  <c r="R13" i="1"/>
  <c r="Q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AT18" i="1" l="1"/>
  <c r="AT52" i="1"/>
  <c r="AT26" i="1"/>
  <c r="AT16" i="1"/>
  <c r="AT15" i="1"/>
  <c r="AT17" i="1"/>
  <c r="AI17" i="1"/>
  <c r="AL14" i="1"/>
  <c r="AM14" i="1" s="1"/>
  <c r="AN14" i="1" s="1"/>
  <c r="AQ14" i="1" s="1"/>
  <c r="AS14" i="1" s="1"/>
  <c r="AE14" i="1"/>
  <c r="AF14" i="1"/>
  <c r="AL13" i="1"/>
  <c r="AM13" i="1" s="1"/>
  <c r="AN13" i="1" s="1"/>
  <c r="AQ13" i="1" s="1"/>
  <c r="AS13" i="1" s="1"/>
  <c r="AF13" i="1"/>
  <c r="AE13" i="1"/>
  <c r="AJ16" i="1"/>
  <c r="AH16" i="1"/>
  <c r="AJ17" i="1"/>
  <c r="AH17" i="1"/>
  <c r="AH15" i="1"/>
  <c r="AJ15" i="1"/>
  <c r="AG13" i="1"/>
  <c r="AI13" i="1" s="1"/>
  <c r="AG14" i="1"/>
  <c r="Q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AT13" i="1" l="1"/>
  <c r="AT14" i="1"/>
  <c r="AI14" i="1"/>
  <c r="AG12" i="1"/>
  <c r="AL12" i="1"/>
  <c r="AM12" i="1" s="1"/>
  <c r="AN12" i="1" s="1"/>
  <c r="AQ12" i="1" s="1"/>
  <c r="AS12" i="1" s="1"/>
  <c r="AE12" i="1"/>
  <c r="AF12" i="1"/>
  <c r="AJ13" i="1"/>
  <c r="AH13" i="1"/>
  <c r="AJ14" i="1"/>
  <c r="AH14" i="1"/>
  <c r="AL11" i="1"/>
  <c r="AM11" i="1" s="1"/>
  <c r="AN11" i="1" s="1"/>
  <c r="AQ11" i="1" s="1"/>
  <c r="AS11" i="1" s="1"/>
  <c r="AF11" i="1"/>
  <c r="AE11" i="1"/>
  <c r="AG11" i="1"/>
  <c r="AD10" i="1"/>
  <c r="AC10" i="1"/>
  <c r="AB10" i="1"/>
  <c r="AB64" i="1" s="1"/>
  <c r="AA10" i="1"/>
  <c r="Z10" i="1"/>
  <c r="Y10" i="1"/>
  <c r="X10" i="1"/>
  <c r="W10" i="1"/>
  <c r="V10" i="1"/>
  <c r="U10" i="1"/>
  <c r="T10" i="1"/>
  <c r="S10" i="1"/>
  <c r="R10" i="1"/>
  <c r="Q10" i="1"/>
  <c r="AD9" i="1"/>
  <c r="AC9" i="1"/>
  <c r="AA9" i="1"/>
  <c r="AA64" i="1" s="1"/>
  <c r="Z9" i="1"/>
  <c r="Y9" i="1"/>
  <c r="X9" i="1"/>
  <c r="W9" i="1"/>
  <c r="V9" i="1"/>
  <c r="U9" i="1"/>
  <c r="U64" i="1" s="1"/>
  <c r="T9" i="1"/>
  <c r="S9" i="1"/>
  <c r="S64" i="1" s="1"/>
  <c r="R9" i="1"/>
  <c r="Q9" i="1"/>
  <c r="V64" i="1" l="1"/>
  <c r="W64" i="1"/>
  <c r="Y64" i="1"/>
  <c r="R64" i="1"/>
  <c r="Z64" i="1"/>
  <c r="AT12" i="1"/>
  <c r="AT11" i="1"/>
  <c r="AI11" i="1"/>
  <c r="AH11" i="1"/>
  <c r="AJ11" i="1"/>
  <c r="AJ12" i="1"/>
  <c r="AH12" i="1"/>
  <c r="AL10" i="1"/>
  <c r="AM10" i="1" s="1"/>
  <c r="AN10" i="1" s="1"/>
  <c r="AQ10" i="1" s="1"/>
  <c r="AS10" i="1" s="1"/>
  <c r="AE10" i="1"/>
  <c r="AF10" i="1"/>
  <c r="Q64" i="1"/>
  <c r="AL9" i="1"/>
  <c r="AF9" i="1"/>
  <c r="AE9" i="1"/>
  <c r="AI12" i="1"/>
  <c r="T64" i="1"/>
  <c r="X64" i="1"/>
  <c r="AG10" i="1"/>
  <c r="AI10" i="1" s="1"/>
  <c r="AG9" i="1"/>
  <c r="AL64" i="1" l="1"/>
  <c r="AM64" i="1" s="1"/>
  <c r="AN64" i="1" s="1"/>
  <c r="AT10" i="1"/>
  <c r="AH9" i="1"/>
  <c r="AJ9" i="1"/>
  <c r="AJ10" i="1"/>
  <c r="AH10" i="1"/>
  <c r="AM9" i="1"/>
  <c r="AN9" i="1" s="1"/>
  <c r="AT9" i="1" s="1"/>
  <c r="AI9" i="1"/>
  <c r="AG64" i="1"/>
  <c r="AF64" i="1"/>
  <c r="AE64" i="1"/>
  <c r="AT64" i="1" l="1"/>
  <c r="AQ9" i="1"/>
  <c r="AI64" i="1"/>
  <c r="AJ64" i="1"/>
  <c r="AH64" i="1"/>
  <c r="AS9" i="1" l="1"/>
  <c r="AS64" i="1" s="1"/>
  <c r="AS67" i="1" s="1"/>
  <c r="AQ64" i="1"/>
</calcChain>
</file>

<file path=xl/sharedStrings.xml><?xml version="1.0" encoding="utf-8"?>
<sst xmlns="http://schemas.openxmlformats.org/spreadsheetml/2006/main" count="332" uniqueCount="167">
  <si>
    <t>SENAC SP</t>
  </si>
  <si>
    <t>PLANILHA DE PERFIL DE USO DAS UNIDADES SENAC-SP - PROJETO MERCADO LIVRE</t>
  </si>
  <si>
    <t>UNIDADE</t>
  </si>
  <si>
    <t>LOCALIZAÇÃO</t>
  </si>
  <si>
    <t>CONCESSIONÁRIA</t>
  </si>
  <si>
    <t>DEMANDA</t>
  </si>
  <si>
    <t>CONSUMO</t>
  </si>
  <si>
    <t>LOCAL</t>
  </si>
  <si>
    <t>MÉDIA</t>
  </si>
  <si>
    <t>MÉDIO</t>
  </si>
  <si>
    <t>(kW)</t>
  </si>
  <si>
    <t>FATURADA</t>
  </si>
  <si>
    <t>HISTÓRICO DE DEMANDA FATURADA ÚLTIMOS DOZE MESES EM kW</t>
  </si>
  <si>
    <t>HISTÓRICO DE CONSUMO TOTAL (P+FP) FATURADO ÚLTIMOS DOZE MESES EM Kwh</t>
  </si>
  <si>
    <t>ACL</t>
  </si>
  <si>
    <t>ACLIMAÇÃO - SÃO PAULO CAPITAL</t>
  </si>
  <si>
    <t>MÁXIMA</t>
  </si>
  <si>
    <t>FATURADO</t>
  </si>
  <si>
    <t>(kWh/Mês)</t>
  </si>
  <si>
    <t>AME</t>
  </si>
  <si>
    <t>AMERICANA - SP</t>
  </si>
  <si>
    <t>ARAÇATUBA</t>
  </si>
  <si>
    <t>ARAÇATUBA - SP</t>
  </si>
  <si>
    <t>CPFL - PAULISTA DE FORÇA E LUZ</t>
  </si>
  <si>
    <t>ARARAQUARA</t>
  </si>
  <si>
    <t>ARARAQUARA - SP</t>
  </si>
  <si>
    <t>BAR</t>
  </si>
  <si>
    <t>BARRETOS - SP</t>
  </si>
  <si>
    <t>BAURU</t>
  </si>
  <si>
    <t>BAURU - SP</t>
  </si>
  <si>
    <t>BOTUCATU</t>
  </si>
  <si>
    <t>BOTUCATU - SP</t>
  </si>
  <si>
    <t>CAMPINAS</t>
  </si>
  <si>
    <t>CAMPINAS - SP</t>
  </si>
  <si>
    <t>CAR</t>
  </si>
  <si>
    <t>SÃO CARLOS - SP</t>
  </si>
  <si>
    <t>CAS</t>
  </si>
  <si>
    <t>ELETROPAULO</t>
  </si>
  <si>
    <t>CAS E</t>
  </si>
  <si>
    <t>CATANDUVA</t>
  </si>
  <si>
    <t>CATANDUVA - SP</t>
  </si>
  <si>
    <t>ENERGISA</t>
  </si>
  <si>
    <t>GUARULHOS</t>
  </si>
  <si>
    <t>GUARULHOS - SP</t>
  </si>
  <si>
    <t>EDP</t>
  </si>
  <si>
    <t>TAUBATÉ - SP</t>
  </si>
  <si>
    <t>PIN</t>
  </si>
  <si>
    <t>PINDAMONHANGABA - SP</t>
  </si>
  <si>
    <t>JURUBATUBA - SÃO PAULO - CAPITAL</t>
  </si>
  <si>
    <t>FCO</t>
  </si>
  <si>
    <t>ÁGUA BRANCA - SÃO PAULO - CAPITAL</t>
  </si>
  <si>
    <t>FRA</t>
  </si>
  <si>
    <t>FRANCA - SP</t>
  </si>
  <si>
    <t>GHJ</t>
  </si>
  <si>
    <t>CAMPOS DO JORDÃO - SP</t>
  </si>
  <si>
    <t>ELEKTRO</t>
  </si>
  <si>
    <t>GHP</t>
  </si>
  <si>
    <t>ÁGUAS DE SÃO PEDRO - SP</t>
  </si>
  <si>
    <t>GUA</t>
  </si>
  <si>
    <t>IPE</t>
  </si>
  <si>
    <t>ITAPETININGA - SP</t>
  </si>
  <si>
    <t>CPFL - CIA SUL PAULISTA DE ENERGIA</t>
  </si>
  <si>
    <t>ITA</t>
  </si>
  <si>
    <t>ITAPIRA - SP</t>
  </si>
  <si>
    <t>ITQ</t>
  </si>
  <si>
    <t>ITAQUERA - SP</t>
  </si>
  <si>
    <t>JAB</t>
  </si>
  <si>
    <t>JABOTICABAL - SP</t>
  </si>
  <si>
    <t>JAÚ</t>
  </si>
  <si>
    <t>JAÚ - SP</t>
  </si>
  <si>
    <t>JBQ</t>
  </si>
  <si>
    <t>JABAQUARA - SÃO PAULO - CAPITAL</t>
  </si>
  <si>
    <t>JUN</t>
  </si>
  <si>
    <t>CPFL - CIA PIRATININGA DE FORÇA E LUZ</t>
  </si>
  <si>
    <t>JUNDIAÍ - SP</t>
  </si>
  <si>
    <t>LAPA_FAUSTOLO</t>
  </si>
  <si>
    <t>LAPA - SÃO PAULO - CAPITAL</t>
  </si>
  <si>
    <t>LAPA_SCIPIÃO</t>
  </si>
  <si>
    <t>VL. ROMANA - SÃO PAULO - CAPITAL</t>
  </si>
  <si>
    <t>LARGO_13</t>
  </si>
  <si>
    <t>SANTO AMARO - SÃO PAULO - CAPITAL</t>
  </si>
  <si>
    <t>LIM</t>
  </si>
  <si>
    <t>LIMEIRA - SP</t>
  </si>
  <si>
    <t>MAR</t>
  </si>
  <si>
    <t>MARÍLIA - SP</t>
  </si>
  <si>
    <t>MOG</t>
  </si>
  <si>
    <t>MOGI-GUAÇU - SP</t>
  </si>
  <si>
    <t>OSASCO</t>
  </si>
  <si>
    <t>OSASCO - SP</t>
  </si>
  <si>
    <t>PENHA</t>
  </si>
  <si>
    <t>PENHA DE FRANÇA - SÃO PAULO - CAPITAL</t>
  </si>
  <si>
    <t>PIR</t>
  </si>
  <si>
    <t>PIRACICABA - SP</t>
  </si>
  <si>
    <t>PPR</t>
  </si>
  <si>
    <t>PRESIDENTE PRUDENTE - SP</t>
  </si>
  <si>
    <t>REG</t>
  </si>
  <si>
    <t>REGISTRO - SP</t>
  </si>
  <si>
    <t>RIP</t>
  </si>
  <si>
    <t>RIBEIRÃO PRETO - SP</t>
  </si>
  <si>
    <t>SAN</t>
  </si>
  <si>
    <t>SANTOS - SP</t>
  </si>
  <si>
    <t>SANTANA</t>
  </si>
  <si>
    <t>SANTANA - SÃO PAULO - CAPITAL</t>
  </si>
  <si>
    <t>SANTO_ANDRÉ</t>
  </si>
  <si>
    <t>SANTO ANDRÉ - SP</t>
  </si>
  <si>
    <t>SBC</t>
  </si>
  <si>
    <t>SÃO BERNARDO DO CAMPO - SP</t>
  </si>
  <si>
    <t>SEDE</t>
  </si>
  <si>
    <t>VILA BUARQUE - SÃO PAULO - CAPITAL</t>
  </si>
  <si>
    <t>SJB</t>
  </si>
  <si>
    <t>SÃO JOÃO DA BOA VISTA - SP</t>
  </si>
  <si>
    <t>SJC</t>
  </si>
  <si>
    <t>SÃO JOSÉ DOS CAMPOS - SP</t>
  </si>
  <si>
    <t>SJR</t>
  </si>
  <si>
    <t>SÃO JOSÉ DO RIO PRETO</t>
  </si>
  <si>
    <t>SMP</t>
  </si>
  <si>
    <t>SÃO MIGUEL PAULISTA - SP</t>
  </si>
  <si>
    <t>SOR</t>
  </si>
  <si>
    <t>SOROCABA - SP</t>
  </si>
  <si>
    <t>TATUAPÉ</t>
  </si>
  <si>
    <t>TATUAPÉ - SP - CAPITAL</t>
  </si>
  <si>
    <t>TAU</t>
  </si>
  <si>
    <t>TBS</t>
  </si>
  <si>
    <t>TABOÃO DA SERRA - SP</t>
  </si>
  <si>
    <t>GUARATINGUETA  - SP</t>
  </si>
  <si>
    <t>TIRADENTES</t>
  </si>
  <si>
    <t>LUZ - SÃO PAULO - CAPITAL</t>
  </si>
  <si>
    <t>TIT</t>
  </si>
  <si>
    <t>VILA_PRUDENTE</t>
  </si>
  <si>
    <t>VOTUPORANGA</t>
  </si>
  <si>
    <t>VILA ROMANA - SÃO PAULO - CAPITAL</t>
  </si>
  <si>
    <t>VILA PRUDENTE - SÃO PAULO - CAPITAL</t>
  </si>
  <si>
    <t>VOTUPORANGA - SP</t>
  </si>
  <si>
    <t>TOTAL CONSUMO (MWh):</t>
  </si>
  <si>
    <t xml:space="preserve">SISTEMA </t>
  </si>
  <si>
    <t>TARIFÁRIO</t>
  </si>
  <si>
    <t>THS-VERDE</t>
  </si>
  <si>
    <t>THS-AZUL (P=430,0 kW e FP=430,0 kW)</t>
  </si>
  <si>
    <t>THS-AZUL (P=650,0 kW e FP=700,0 kW)</t>
  </si>
  <si>
    <t>SAZONALIDADE</t>
  </si>
  <si>
    <t>FLEXIBILIDADE</t>
  </si>
  <si>
    <t>INFERIOR</t>
  </si>
  <si>
    <t>SUPERIOR</t>
  </si>
  <si>
    <t xml:space="preserve">TIPO </t>
  </si>
  <si>
    <t>DE</t>
  </si>
  <si>
    <t>MEDIÇÃO</t>
  </si>
  <si>
    <t>(AT/BT)</t>
  </si>
  <si>
    <t>AT</t>
  </si>
  <si>
    <t>BT - Perdas 2,5%</t>
  </si>
  <si>
    <t>THS-AZUL (P=450,0 kW e FP=450,0 kW)</t>
  </si>
  <si>
    <t>(%)</t>
  </si>
  <si>
    <t>MÁXIMO</t>
  </si>
  <si>
    <t>(kWh/MÊS)</t>
  </si>
  <si>
    <t>MÍNIMO</t>
  </si>
  <si>
    <t>TOTAL:</t>
  </si>
  <si>
    <t>AMPLITUDE</t>
  </si>
  <si>
    <t>Total KWH set 2017 a ago 2018</t>
  </si>
  <si>
    <t>Data Prevista de entrada</t>
  </si>
  <si>
    <t>Quantidade de meses</t>
  </si>
  <si>
    <t>-</t>
  </si>
  <si>
    <t>Média Anual MWH</t>
  </si>
  <si>
    <t>Estimativa mensal MWH</t>
  </si>
  <si>
    <t>Valor Previsto Demanda- Incentivada 50% (kW)</t>
  </si>
  <si>
    <t>Valor Previsto Consumo (MWH R$ 270,00+ICMS)</t>
  </si>
  <si>
    <t>Valor Atual Referência média mensal               (R$)</t>
  </si>
  <si>
    <t>Valor Previsto Total               (R$)                 (*)</t>
  </si>
  <si>
    <t>ANEXO VI - HISTORICO DE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</si>
</sst>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14" xfId="0" applyFont="1" applyFill="1" applyBorder="1"/>
    <xf numFmtId="0" fontId="2" fillId="2" borderId="12" xfId="0" applyFont="1" applyFill="1" applyBorder="1"/>
    <xf numFmtId="17" fontId="2" fillId="2" borderId="4" xfId="0" applyNumberFormat="1" applyFont="1" applyFill="1" applyBorder="1"/>
    <xf numFmtId="0" fontId="2" fillId="5" borderId="4" xfId="0" applyFont="1" applyFill="1" applyBorder="1"/>
    <xf numFmtId="0" fontId="2" fillId="0" borderId="4" xfId="0" applyFont="1" applyBorder="1" applyAlignment="1">
      <alignment vertical="top"/>
    </xf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/>
    </xf>
    <xf numFmtId="4" fontId="2" fillId="0" borderId="4" xfId="0" applyNumberFormat="1" applyFont="1" applyBorder="1"/>
    <xf numFmtId="2" fontId="2" fillId="0" borderId="4" xfId="0" applyNumberFormat="1" applyFont="1" applyBorder="1"/>
    <xf numFmtId="0" fontId="2" fillId="0" borderId="10" xfId="0" applyFont="1" applyFill="1" applyBorder="1" applyAlignment="1">
      <alignment horizontal="center"/>
    </xf>
    <xf numFmtId="4" fontId="2" fillId="0" borderId="0" xfId="0" applyNumberFormat="1" applyFont="1"/>
    <xf numFmtId="4" fontId="2" fillId="4" borderId="4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1" fillId="4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14" fontId="2" fillId="0" borderId="4" xfId="0" applyNumberFormat="1" applyFont="1" applyBorder="1"/>
    <xf numFmtId="14" fontId="2" fillId="0" borderId="0" xfId="0" applyNumberFormat="1" applyFont="1"/>
    <xf numFmtId="1" fontId="2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0" fontId="2" fillId="2" borderId="4" xfId="0" applyFont="1" applyFill="1" applyBorder="1" applyAlignment="1">
      <alignment horizontal="center" vertical="top" wrapText="1"/>
    </xf>
    <xf numFmtId="17" fontId="2" fillId="2" borderId="4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2" fontId="2" fillId="0" borderId="0" xfId="0" applyNumberFormat="1" applyFont="1"/>
    <xf numFmtId="0" fontId="1" fillId="0" borderId="0" xfId="0" applyFont="1" applyBorder="1"/>
    <xf numFmtId="4" fontId="1" fillId="0" borderId="8" xfId="0" applyNumberFormat="1" applyFont="1" applyBorder="1"/>
    <xf numFmtId="4" fontId="2" fillId="0" borderId="1" xfId="0" applyNumberFormat="1" applyFont="1" applyBorder="1"/>
    <xf numFmtId="4" fontId="1" fillId="0" borderId="15" xfId="0" applyNumberFormat="1" applyFont="1" applyBorder="1"/>
    <xf numFmtId="0" fontId="2" fillId="0" borderId="8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UNIDADES SENAC - SP</a:t>
            </a:r>
          </a:p>
          <a:p>
            <a:pPr>
              <a:defRPr/>
            </a:pPr>
            <a:r>
              <a:rPr lang="pt-BR"/>
              <a:t>CONSUMO TOTAL (MWh)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val>
            <c:numRef>
              <c:f>'PERFIL DE USO'!#REF!</c:f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'PERFIL DE USO'!#REF!</c15:sqref>
                        </c15:formulaRef>
                      </c:ext>
                    </c:extLst>
                    <c:strCache>
                      <c:ptCount val="1"/>
                      <c:pt idx="0">
                        <c:v>CONSUMO TOTAL (MWh)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'PERFIL DE USO'!#REF!</c15:sqref>
                        </c15:formulaRef>
                      </c:ext>
                    </c:extLst>
                    <c:strCache>
                      <c:ptCount val="12"/>
                      <c:pt idx="0">
                        <c:v>SETEMBRO</c:v>
                      </c:pt>
                      <c:pt idx="1">
                        <c:v>OUTUBRO</c:v>
                      </c:pt>
                      <c:pt idx="2">
                        <c:v>NOVEMBRO</c:v>
                      </c:pt>
                      <c:pt idx="3">
                        <c:v>DEZEMBRO</c:v>
                      </c:pt>
                      <c:pt idx="4">
                        <c:v>JANEIRO</c:v>
                      </c:pt>
                      <c:pt idx="5">
                        <c:v>FEVEREIRO</c:v>
                      </c:pt>
                      <c:pt idx="6">
                        <c:v>MARÇO</c:v>
                      </c:pt>
                      <c:pt idx="7">
                        <c:v>ABRIL</c:v>
                      </c:pt>
                      <c:pt idx="8">
                        <c:v>MAIO</c:v>
                      </c:pt>
                      <c:pt idx="9">
                        <c:v>JUNHO</c:v>
                      </c:pt>
                      <c:pt idx="10">
                        <c:v>JULHO</c:v>
                      </c:pt>
                      <c:pt idx="11">
                        <c:v>AGOSTO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86B-4365-B992-581F2993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8550072"/>
        <c:axId val="668552040"/>
      </c:lineChart>
      <c:catAx>
        <c:axId val="668550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8552040"/>
        <c:crosses val="autoZero"/>
        <c:auto val="1"/>
        <c:lblAlgn val="ctr"/>
        <c:lblOffset val="100"/>
        <c:noMultiLvlLbl val="0"/>
      </c:catAx>
      <c:valAx>
        <c:axId val="66855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68550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1314449</xdr:colOff>
      <xdr:row>67</xdr:row>
      <xdr:rowOff>0</xdr:rowOff>
    </xdr:from>
    <xdr:to>
      <xdr:col>9</xdr:col>
      <xdr:colOff>200024</xdr:colOff>
      <xdr:row>69</xdr:row>
      <xdr:rowOff>133350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DCD1B8-2F46-4F6F-9591-91BE3519F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7"/>
  <sheetViews>
    <sheetView tabSelected="1" zoomScaleNormal="100" workbookViewId="0">
      <selection activeCell="V2" sqref="V2"/>
    </sheetView>
  </sheetViews>
  <sheetFormatPr defaultColWidth="8.7109375" defaultRowHeight="12" x14ac:dyDescent="0.2"/>
  <cols>
    <col min="1" max="1" width="15.5703125" style="2" customWidth="1"/>
    <col min="2" max="2" width="38.7109375" style="2" hidden="1" customWidth="1"/>
    <col min="3" max="3" width="36.28515625" style="2" hidden="1" customWidth="1"/>
    <col min="4" max="4" width="34" style="2" hidden="1" customWidth="1"/>
    <col min="5" max="16" width="0" style="2" hidden="1" customWidth="1"/>
    <col min="17" max="21" width="8.7109375" style="2" bestFit="1" customWidth="1"/>
    <col min="22" max="22" width="8.7109375" style="2" customWidth="1"/>
    <col min="23" max="28" width="8.7109375" style="2" bestFit="1" customWidth="1"/>
    <col min="29" max="29" width="11.7109375" style="2" hidden="1" customWidth="1"/>
    <col min="30" max="32" width="11.28515625" style="2" hidden="1" customWidth="1"/>
    <col min="33" max="33" width="11.42578125" style="2" hidden="1" customWidth="1"/>
    <col min="34" max="34" width="14.85546875" style="2" hidden="1" customWidth="1"/>
    <col min="35" max="36" width="13.7109375" style="2" hidden="1" customWidth="1"/>
    <col min="37" max="37" width="13.42578125" style="2" hidden="1" customWidth="1"/>
    <col min="38" max="38" width="11.140625" style="2" customWidth="1"/>
    <col min="39" max="40" width="9.28515625" style="2" customWidth="1"/>
    <col min="41" max="41" width="9.5703125" style="2" hidden="1" customWidth="1"/>
    <col min="42" max="42" width="8.7109375" style="2" hidden="1" customWidth="1"/>
    <col min="43" max="43" width="13.28515625" style="2" hidden="1" customWidth="1"/>
    <col min="44" max="44" width="11.85546875" style="2" hidden="1" customWidth="1"/>
    <col min="45" max="45" width="12.28515625" style="2" hidden="1" customWidth="1"/>
    <col min="46" max="46" width="12.5703125" style="2" hidden="1" customWidth="1"/>
    <col min="47" max="16384" width="8.7109375" style="2"/>
  </cols>
  <sheetData>
    <row r="1" spans="1:47" x14ac:dyDescent="0.2">
      <c r="A1" s="1" t="s">
        <v>166</v>
      </c>
    </row>
    <row r="2" spans="1:47" x14ac:dyDescent="0.2">
      <c r="A2" s="1"/>
      <c r="B2" s="2" t="s">
        <v>0</v>
      </c>
    </row>
    <row r="3" spans="1:47" x14ac:dyDescent="0.2">
      <c r="A3" s="1" t="s">
        <v>1</v>
      </c>
    </row>
    <row r="4" spans="1:47" x14ac:dyDescent="0.2">
      <c r="S4" s="3"/>
    </row>
    <row r="5" spans="1:47" x14ac:dyDescent="0.2">
      <c r="A5" s="4" t="s">
        <v>2</v>
      </c>
      <c r="B5" s="5" t="s">
        <v>3</v>
      </c>
      <c r="C5" s="6" t="s">
        <v>4</v>
      </c>
      <c r="D5" s="6" t="s">
        <v>134</v>
      </c>
      <c r="E5" s="48" t="s">
        <v>12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  <c r="Q5" s="51" t="s">
        <v>13</v>
      </c>
      <c r="R5" s="52"/>
      <c r="S5" s="52"/>
      <c r="T5" s="52"/>
      <c r="U5" s="52"/>
      <c r="V5" s="52"/>
      <c r="W5" s="52"/>
      <c r="X5" s="52"/>
      <c r="Y5" s="52"/>
      <c r="Z5" s="52"/>
      <c r="AA5" s="52"/>
      <c r="AB5" s="53"/>
      <c r="AC5" s="7" t="s">
        <v>5</v>
      </c>
      <c r="AD5" s="7" t="s">
        <v>5</v>
      </c>
      <c r="AE5" s="7" t="s">
        <v>6</v>
      </c>
      <c r="AF5" s="7" t="s">
        <v>6</v>
      </c>
      <c r="AG5" s="7" t="s">
        <v>6</v>
      </c>
      <c r="AH5" s="7" t="s">
        <v>139</v>
      </c>
      <c r="AI5" s="7" t="s">
        <v>140</v>
      </c>
      <c r="AJ5" s="7" t="s">
        <v>140</v>
      </c>
      <c r="AK5" s="7" t="s">
        <v>143</v>
      </c>
      <c r="AP5" s="35"/>
      <c r="AQ5" s="35">
        <v>43739</v>
      </c>
    </row>
    <row r="6" spans="1:47" x14ac:dyDescent="0.2">
      <c r="A6" s="8"/>
      <c r="B6" s="9"/>
      <c r="C6" s="10" t="s">
        <v>7</v>
      </c>
      <c r="D6" s="10" t="s">
        <v>135</v>
      </c>
      <c r="E6" s="10"/>
      <c r="F6" s="9"/>
      <c r="G6" s="9"/>
      <c r="H6" s="9"/>
      <c r="I6" s="9"/>
      <c r="J6" s="9"/>
      <c r="K6" s="9"/>
      <c r="L6" s="9"/>
      <c r="M6" s="9"/>
      <c r="N6" s="9"/>
      <c r="O6" s="9"/>
      <c r="P6" s="11"/>
      <c r="Q6" s="10"/>
      <c r="R6" s="9"/>
      <c r="S6" s="9"/>
      <c r="T6" s="9"/>
      <c r="U6" s="9"/>
      <c r="V6" s="9"/>
      <c r="W6" s="9"/>
      <c r="X6" s="9"/>
      <c r="Y6" s="9"/>
      <c r="Z6" s="9"/>
      <c r="AA6" s="9"/>
      <c r="AB6" s="11"/>
      <c r="AC6" s="12" t="s">
        <v>11</v>
      </c>
      <c r="AD6" s="12" t="s">
        <v>11</v>
      </c>
      <c r="AE6" s="12" t="s">
        <v>151</v>
      </c>
      <c r="AF6" s="12" t="s">
        <v>153</v>
      </c>
      <c r="AG6" s="12" t="s">
        <v>9</v>
      </c>
      <c r="AH6" s="12" t="s">
        <v>155</v>
      </c>
      <c r="AI6" s="12" t="s">
        <v>141</v>
      </c>
      <c r="AJ6" s="12" t="s">
        <v>142</v>
      </c>
      <c r="AK6" s="12" t="s">
        <v>144</v>
      </c>
      <c r="AQ6" s="2">
        <v>60</v>
      </c>
    </row>
    <row r="7" spans="1:47" x14ac:dyDescent="0.2">
      <c r="A7" s="8"/>
      <c r="B7" s="9"/>
      <c r="C7" s="10"/>
      <c r="D7" s="10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11"/>
      <c r="Q7" s="10"/>
      <c r="R7" s="9"/>
      <c r="S7" s="9"/>
      <c r="T7" s="9"/>
      <c r="U7" s="9"/>
      <c r="V7" s="9"/>
      <c r="W7" s="9"/>
      <c r="X7" s="9"/>
      <c r="Y7" s="9"/>
      <c r="Z7" s="9"/>
      <c r="AA7" s="9"/>
      <c r="AB7" s="11"/>
      <c r="AC7" s="12" t="s">
        <v>16</v>
      </c>
      <c r="AD7" s="12" t="s">
        <v>8</v>
      </c>
      <c r="AE7" s="12" t="s">
        <v>17</v>
      </c>
      <c r="AF7" s="12" t="s">
        <v>17</v>
      </c>
      <c r="AG7" s="12" t="s">
        <v>17</v>
      </c>
      <c r="AH7" s="12"/>
      <c r="AI7" s="12"/>
      <c r="AJ7" s="12"/>
      <c r="AK7" s="12" t="s">
        <v>145</v>
      </c>
      <c r="AQ7" s="35">
        <v>45566</v>
      </c>
    </row>
    <row r="8" spans="1:47" ht="49.5" customHeight="1" x14ac:dyDescent="0.2">
      <c r="A8" s="13"/>
      <c r="B8" s="14"/>
      <c r="C8" s="15"/>
      <c r="D8" s="15"/>
      <c r="E8" s="16">
        <v>42979</v>
      </c>
      <c r="F8" s="16">
        <v>43009</v>
      </c>
      <c r="G8" s="16">
        <v>43040</v>
      </c>
      <c r="H8" s="16">
        <v>43070</v>
      </c>
      <c r="I8" s="16">
        <v>43101</v>
      </c>
      <c r="J8" s="16">
        <v>43132</v>
      </c>
      <c r="K8" s="16">
        <v>43160</v>
      </c>
      <c r="L8" s="16">
        <v>43191</v>
      </c>
      <c r="M8" s="16">
        <v>43221</v>
      </c>
      <c r="N8" s="16">
        <v>43252</v>
      </c>
      <c r="O8" s="16">
        <v>43282</v>
      </c>
      <c r="P8" s="16">
        <v>43313</v>
      </c>
      <c r="Q8" s="39">
        <v>42979</v>
      </c>
      <c r="R8" s="39">
        <v>43009</v>
      </c>
      <c r="S8" s="39">
        <v>43040</v>
      </c>
      <c r="T8" s="39">
        <v>43070</v>
      </c>
      <c r="U8" s="39">
        <v>43101</v>
      </c>
      <c r="V8" s="39">
        <v>43132</v>
      </c>
      <c r="W8" s="39">
        <v>43160</v>
      </c>
      <c r="X8" s="39">
        <v>43191</v>
      </c>
      <c r="Y8" s="39">
        <v>43221</v>
      </c>
      <c r="Z8" s="39">
        <v>43252</v>
      </c>
      <c r="AA8" s="39">
        <v>43282</v>
      </c>
      <c r="AB8" s="39">
        <v>43313</v>
      </c>
      <c r="AC8" s="40" t="s">
        <v>10</v>
      </c>
      <c r="AD8" s="40" t="s">
        <v>10</v>
      </c>
      <c r="AE8" s="40" t="s">
        <v>152</v>
      </c>
      <c r="AF8" s="40" t="s">
        <v>18</v>
      </c>
      <c r="AG8" s="41" t="s">
        <v>18</v>
      </c>
      <c r="AH8" s="41" t="s">
        <v>150</v>
      </c>
      <c r="AI8" s="41" t="s">
        <v>150</v>
      </c>
      <c r="AJ8" s="41" t="s">
        <v>150</v>
      </c>
      <c r="AK8" s="41" t="s">
        <v>146</v>
      </c>
      <c r="AL8" s="38" t="s">
        <v>156</v>
      </c>
      <c r="AM8" s="38" t="s">
        <v>160</v>
      </c>
      <c r="AN8" s="38" t="s">
        <v>161</v>
      </c>
      <c r="AO8" s="38" t="s">
        <v>157</v>
      </c>
      <c r="AP8" s="38" t="s">
        <v>158</v>
      </c>
      <c r="AQ8" s="38" t="s">
        <v>163</v>
      </c>
      <c r="AR8" s="38" t="s">
        <v>162</v>
      </c>
      <c r="AS8" s="38" t="s">
        <v>165</v>
      </c>
      <c r="AT8" s="38" t="s">
        <v>164</v>
      </c>
    </row>
    <row r="9" spans="1:47" x14ac:dyDescent="0.2">
      <c r="A9" s="17" t="s">
        <v>14</v>
      </c>
      <c r="B9" s="3" t="s">
        <v>15</v>
      </c>
      <c r="C9" s="3" t="s">
        <v>37</v>
      </c>
      <c r="D9" s="18" t="s">
        <v>136</v>
      </c>
      <c r="E9" s="19">
        <v>383</v>
      </c>
      <c r="F9" s="19">
        <v>392.3</v>
      </c>
      <c r="G9" s="19">
        <v>393.1</v>
      </c>
      <c r="H9" s="19">
        <v>380</v>
      </c>
      <c r="I9" s="19">
        <v>380</v>
      </c>
      <c r="J9" s="19">
        <v>380</v>
      </c>
      <c r="K9" s="19">
        <v>402.4</v>
      </c>
      <c r="L9" s="19">
        <v>422.5</v>
      </c>
      <c r="M9" s="19">
        <v>380</v>
      </c>
      <c r="N9" s="19">
        <v>380</v>
      </c>
      <c r="O9" s="19">
        <v>380</v>
      </c>
      <c r="P9" s="20">
        <v>380</v>
      </c>
      <c r="Q9" s="19">
        <f>13281.5+86687.6</f>
        <v>99969.1</v>
      </c>
      <c r="R9" s="19">
        <f>13758.2+88970.5</f>
        <v>102728.7</v>
      </c>
      <c r="S9" s="19">
        <f>14513.3+89555.6</f>
        <v>104068.90000000001</v>
      </c>
      <c r="T9" s="19">
        <f>8847.5+65580.5</f>
        <v>74428</v>
      </c>
      <c r="U9" s="19">
        <f>14224.6+84159</f>
        <v>98383.6</v>
      </c>
      <c r="V9" s="19">
        <f>13632.4+82826.1</f>
        <v>96458.5</v>
      </c>
      <c r="W9" s="19">
        <f>17163.3+103781.8</f>
        <v>120945.1</v>
      </c>
      <c r="X9" s="19">
        <f>14273.7+92381.9</f>
        <v>106655.59999999999</v>
      </c>
      <c r="Y9" s="19">
        <f>12736.9+78742.9</f>
        <v>91479.799999999988</v>
      </c>
      <c r="Z9" s="19">
        <f>13096+77298.7</f>
        <v>90394.7</v>
      </c>
      <c r="AA9" s="19">
        <f>10548.7+70820.8</f>
        <v>81369.5</v>
      </c>
      <c r="AB9" s="21">
        <v>84741.7</v>
      </c>
      <c r="AC9" s="22">
        <f t="shared" ref="AC9:AC14" si="0">MAX(E9:P9)</f>
        <v>422.5</v>
      </c>
      <c r="AD9" s="22">
        <f t="shared" ref="AD9:AD14" si="1">AVERAGE(E9:P9)</f>
        <v>387.77500000000003</v>
      </c>
      <c r="AE9" s="22">
        <f>MAX(Q9:AB9)</f>
        <v>120945.1</v>
      </c>
      <c r="AF9" s="22">
        <f>MIN(Q9:AB9)</f>
        <v>74428</v>
      </c>
      <c r="AG9" s="22">
        <f t="shared" ref="AG9:AG14" si="2">AVERAGE(Q9:AB9)</f>
        <v>95968.599999999991</v>
      </c>
      <c r="AH9" s="22">
        <f>((AE9-AF9)/AF9)*100</f>
        <v>62.499462567850813</v>
      </c>
      <c r="AI9" s="23">
        <f>((AG9-AF9)/AG9)*100</f>
        <v>22.445466538013466</v>
      </c>
      <c r="AJ9" s="23">
        <f>((AE9-AG9)/AG9)*100</f>
        <v>26.025700072732139</v>
      </c>
      <c r="AK9" s="24" t="s">
        <v>147</v>
      </c>
      <c r="AL9" s="22">
        <f t="shared" ref="AL9:AL40" si="3">SUM(Q9:AB9)</f>
        <v>1151623.2</v>
      </c>
      <c r="AM9" s="22">
        <f>AL9/1000</f>
        <v>1151.6232</v>
      </c>
      <c r="AN9" s="22">
        <f>AM9/12</f>
        <v>95.968599999999995</v>
      </c>
      <c r="AO9" s="34">
        <v>43770</v>
      </c>
      <c r="AP9" s="33">
        <f t="shared" ref="AP9:AP17" si="4">DAYS360(AO9,AQ$7)/(30)</f>
        <v>59</v>
      </c>
      <c r="AQ9" s="22">
        <f>(AN9*AP9*270*1.2195)</f>
        <v>1864346.9636609999</v>
      </c>
      <c r="AR9" s="22">
        <f>4244.6*AP9*0.5</f>
        <v>125215.70000000001</v>
      </c>
      <c r="AS9" s="22">
        <f>(AQ9+AR9)*1.15</f>
        <v>2287997.0632101498</v>
      </c>
      <c r="AT9" s="22">
        <f>((47835.96-4351.04-648.07)/AB9)*1000*AN9*AP9</f>
        <v>2862210.208807352</v>
      </c>
      <c r="AU9" s="42"/>
    </row>
    <row r="10" spans="1:47" x14ac:dyDescent="0.2">
      <c r="A10" s="17" t="s">
        <v>19</v>
      </c>
      <c r="B10" s="3" t="s">
        <v>20</v>
      </c>
      <c r="C10" s="3" t="s">
        <v>23</v>
      </c>
      <c r="D10" s="18" t="s">
        <v>136</v>
      </c>
      <c r="E10" s="19">
        <v>150</v>
      </c>
      <c r="F10" s="19">
        <v>150</v>
      </c>
      <c r="G10" s="19">
        <v>150</v>
      </c>
      <c r="H10" s="19">
        <v>150</v>
      </c>
      <c r="I10" s="19">
        <v>150</v>
      </c>
      <c r="J10" s="19">
        <v>150</v>
      </c>
      <c r="K10" s="19">
        <v>150</v>
      </c>
      <c r="L10" s="19">
        <v>150</v>
      </c>
      <c r="M10" s="19">
        <v>150</v>
      </c>
      <c r="N10" s="19">
        <v>150</v>
      </c>
      <c r="O10" s="19">
        <v>150</v>
      </c>
      <c r="P10" s="19">
        <v>150</v>
      </c>
      <c r="Q10" s="19">
        <f>3909.68+21152.14</f>
        <v>25061.82</v>
      </c>
      <c r="R10" s="19">
        <f>4205.7+22021.12</f>
        <v>26226.82</v>
      </c>
      <c r="S10" s="19">
        <f>4681.6+23585.14</f>
        <v>28266.739999999998</v>
      </c>
      <c r="T10" s="19">
        <f>5297.52+23987.72</f>
        <v>29285.24</v>
      </c>
      <c r="U10" s="19">
        <f>3153.46+17437.5</f>
        <v>20590.96</v>
      </c>
      <c r="V10" s="19">
        <f>4777.06+22086.42</f>
        <v>26863.48</v>
      </c>
      <c r="W10" s="19">
        <f>4760.18+24085.48</f>
        <v>28845.66</v>
      </c>
      <c r="X10" s="19">
        <f>4856.76+23906.2</f>
        <v>28762.959999999999</v>
      </c>
      <c r="Y10" s="19">
        <f>4255+22965</f>
        <v>27220</v>
      </c>
      <c r="Z10" s="19">
        <f>3435.4+19086.28</f>
        <v>22521.68</v>
      </c>
      <c r="AA10" s="19">
        <f>3638.5+19124.58</f>
        <v>22763.08</v>
      </c>
      <c r="AB10" s="19">
        <f>3132.52+18003.48</f>
        <v>21136</v>
      </c>
      <c r="AC10" s="22">
        <f t="shared" si="0"/>
        <v>150</v>
      </c>
      <c r="AD10" s="22">
        <f t="shared" si="1"/>
        <v>150</v>
      </c>
      <c r="AE10" s="22">
        <f t="shared" ref="AE10:AE63" si="5">MAX(Q10:AB10)</f>
        <v>29285.24</v>
      </c>
      <c r="AF10" s="22">
        <f t="shared" ref="AF10:AF63" si="6">MIN(Q10:AB10)</f>
        <v>20590.96</v>
      </c>
      <c r="AG10" s="22">
        <f t="shared" si="2"/>
        <v>25628.703333333338</v>
      </c>
      <c r="AH10" s="22">
        <f t="shared" ref="AH10:AH64" si="7">((AE10-AF10)/AF10)*100</f>
        <v>42.223771985376118</v>
      </c>
      <c r="AI10" s="23">
        <f t="shared" ref="AI10:AI64" si="8">((AG10-AF10)/AG10)*100</f>
        <v>19.656645394077053</v>
      </c>
      <c r="AJ10" s="23">
        <f t="shared" ref="AJ10:AJ64" si="9">((AE10-AG10)/AG10)*100</f>
        <v>14.267349460130038</v>
      </c>
      <c r="AK10" s="24" t="s">
        <v>147</v>
      </c>
      <c r="AL10" s="22">
        <f t="shared" si="3"/>
        <v>307544.44000000006</v>
      </c>
      <c r="AM10" s="22">
        <f t="shared" ref="AM10:AM64" si="10">AL10/1000</f>
        <v>307.54444000000007</v>
      </c>
      <c r="AN10" s="22">
        <f t="shared" ref="AN10:AN63" si="11">AM10/12</f>
        <v>25.628703333333338</v>
      </c>
      <c r="AO10" s="34">
        <v>43806</v>
      </c>
      <c r="AP10" s="36">
        <f t="shared" si="4"/>
        <v>57.8</v>
      </c>
      <c r="AQ10" s="22">
        <f t="shared" ref="AQ10:AQ63" si="12">(AN10*AP10*270*1.2195)</f>
        <v>487753.10317629011</v>
      </c>
      <c r="AR10" s="22">
        <f>1890.2*AP10*0.5</f>
        <v>54626.78</v>
      </c>
      <c r="AS10" s="22">
        <f t="shared" ref="AS10:AS63" si="13">(AQ10+AR10)*1.15</f>
        <v>623736.8656527336</v>
      </c>
      <c r="AT10" s="22">
        <f>((14146.33-204.68-1176.39)/AB10)*1000*AN10*AP10</f>
        <v>894666.83172992512</v>
      </c>
      <c r="AU10" s="42"/>
    </row>
    <row r="11" spans="1:47" x14ac:dyDescent="0.2">
      <c r="A11" s="17" t="s">
        <v>21</v>
      </c>
      <c r="B11" s="3" t="s">
        <v>22</v>
      </c>
      <c r="C11" s="3" t="s">
        <v>23</v>
      </c>
      <c r="D11" s="18" t="s">
        <v>136</v>
      </c>
      <c r="E11" s="19">
        <v>180</v>
      </c>
      <c r="F11" s="19">
        <v>180</v>
      </c>
      <c r="G11" s="19">
        <v>180</v>
      </c>
      <c r="H11" s="19">
        <v>180</v>
      </c>
      <c r="I11" s="19">
        <v>180</v>
      </c>
      <c r="J11" s="19">
        <v>180</v>
      </c>
      <c r="K11" s="19">
        <v>180</v>
      </c>
      <c r="L11" s="19">
        <v>180</v>
      </c>
      <c r="M11" s="19">
        <v>180</v>
      </c>
      <c r="N11" s="19">
        <v>180</v>
      </c>
      <c r="O11" s="19">
        <v>180</v>
      </c>
      <c r="P11" s="19">
        <v>180</v>
      </c>
      <c r="Q11" s="19">
        <f>3892.285+21827.592</f>
        <v>25719.877</v>
      </c>
      <c r="R11" s="19">
        <f>3931.412+22327.661</f>
        <v>26259.073</v>
      </c>
      <c r="S11" s="19">
        <f>4339.993+24831.916</f>
        <v>29171.909</v>
      </c>
      <c r="T11" s="19">
        <f>4459.93+28704.288</f>
        <v>33164.218000000001</v>
      </c>
      <c r="U11" s="19">
        <f>2133.607+17253.234</f>
        <v>19386.841</v>
      </c>
      <c r="V11" s="19">
        <f>3425.267+22975.034</f>
        <v>26400.300999999999</v>
      </c>
      <c r="W11" s="19">
        <f>4381.37+30702.226</f>
        <v>35083.595999999998</v>
      </c>
      <c r="X11" s="19">
        <f>4045.925+26441.346</f>
        <v>30487.271000000001</v>
      </c>
      <c r="Y11" s="19">
        <f>2805.543+18529.704</f>
        <v>21335.247000000003</v>
      </c>
      <c r="Z11" s="19">
        <f>2864.116+19070.141</f>
        <v>21934.256999999998</v>
      </c>
      <c r="AA11" s="19">
        <f>3007+17317</f>
        <v>20324</v>
      </c>
      <c r="AB11" s="19">
        <f>3229.943+18092.512</f>
        <v>21322.454999999998</v>
      </c>
      <c r="AC11" s="22">
        <f t="shared" si="0"/>
        <v>180</v>
      </c>
      <c r="AD11" s="22">
        <f t="shared" si="1"/>
        <v>180</v>
      </c>
      <c r="AE11" s="22">
        <f t="shared" si="5"/>
        <v>35083.595999999998</v>
      </c>
      <c r="AF11" s="22">
        <f t="shared" si="6"/>
        <v>19386.841</v>
      </c>
      <c r="AG11" s="22">
        <f t="shared" si="2"/>
        <v>25882.420416666671</v>
      </c>
      <c r="AH11" s="22">
        <f t="shared" si="7"/>
        <v>80.966027420351764</v>
      </c>
      <c r="AI11" s="23">
        <f t="shared" si="8"/>
        <v>25.09649141037799</v>
      </c>
      <c r="AJ11" s="23">
        <f t="shared" si="9"/>
        <v>35.549903893100897</v>
      </c>
      <c r="AK11" s="24" t="s">
        <v>147</v>
      </c>
      <c r="AL11" s="22">
        <f t="shared" si="3"/>
        <v>310589.04500000004</v>
      </c>
      <c r="AM11" s="22">
        <f t="shared" si="10"/>
        <v>310.58904500000006</v>
      </c>
      <c r="AN11" s="22">
        <f t="shared" si="11"/>
        <v>25.882420416666672</v>
      </c>
      <c r="AO11" s="34">
        <v>43877</v>
      </c>
      <c r="AP11" s="36">
        <f t="shared" si="4"/>
        <v>55.5</v>
      </c>
      <c r="AQ11" s="22">
        <f t="shared" si="12"/>
        <v>472980.72129640327</v>
      </c>
      <c r="AR11" s="22">
        <f>2302.32*AP11*0.5</f>
        <v>63889.380000000005</v>
      </c>
      <c r="AS11" s="22">
        <f t="shared" si="13"/>
        <v>617400.61649086361</v>
      </c>
      <c r="AT11" s="22">
        <f>((14593.75-211.05-1182.21)/AB11)*1000*AN11*AP11</f>
        <v>889304.96369546757</v>
      </c>
      <c r="AU11" s="42"/>
    </row>
    <row r="12" spans="1:47" x14ac:dyDescent="0.2">
      <c r="A12" s="17" t="s">
        <v>24</v>
      </c>
      <c r="B12" s="3" t="s">
        <v>25</v>
      </c>
      <c r="C12" s="3" t="s">
        <v>23</v>
      </c>
      <c r="D12" s="18" t="s">
        <v>136</v>
      </c>
      <c r="E12" s="19">
        <v>300</v>
      </c>
      <c r="F12" s="19">
        <v>300</v>
      </c>
      <c r="G12" s="19">
        <v>300</v>
      </c>
      <c r="H12" s="19">
        <v>300</v>
      </c>
      <c r="I12" s="19">
        <v>300</v>
      </c>
      <c r="J12" s="19">
        <v>300</v>
      </c>
      <c r="K12" s="19">
        <v>300</v>
      </c>
      <c r="L12" s="19">
        <v>300</v>
      </c>
      <c r="M12" s="19">
        <v>300</v>
      </c>
      <c r="N12" s="19">
        <v>300</v>
      </c>
      <c r="O12" s="19">
        <v>300</v>
      </c>
      <c r="P12" s="19">
        <v>300</v>
      </c>
      <c r="Q12" s="19">
        <f>3930.6+18866.7</f>
        <v>22797.3</v>
      </c>
      <c r="R12" s="19">
        <f>4627.4+20485.45</f>
        <v>25112.85</v>
      </c>
      <c r="S12" s="19">
        <f>5224.95+20546.55</f>
        <v>25771.5</v>
      </c>
      <c r="T12" s="19">
        <f>4640.35+20879.85</f>
        <v>25520.199999999997</v>
      </c>
      <c r="U12" s="19">
        <f>1886.6+12870</f>
        <v>14756.6</v>
      </c>
      <c r="V12" s="19">
        <f>3428.35+15808.2</f>
        <v>19236.55</v>
      </c>
      <c r="W12" s="19">
        <f>4754.95+23225.3</f>
        <v>27980.25</v>
      </c>
      <c r="X12" s="19">
        <f>4848.65+23255.8</f>
        <v>28104.449999999997</v>
      </c>
      <c r="Y12" s="19">
        <f>3971.9+19053.45</f>
        <v>23025.350000000002</v>
      </c>
      <c r="Z12" s="19">
        <f>3558.55+18059</f>
        <v>21617.55</v>
      </c>
      <c r="AA12" s="19">
        <f>3685+16834</f>
        <v>20519</v>
      </c>
      <c r="AB12" s="19">
        <f>3300.8+15829.5</f>
        <v>19130.3</v>
      </c>
      <c r="AC12" s="22">
        <f t="shared" si="0"/>
        <v>300</v>
      </c>
      <c r="AD12" s="22">
        <f t="shared" si="1"/>
        <v>300</v>
      </c>
      <c r="AE12" s="22">
        <f t="shared" si="5"/>
        <v>28104.449999999997</v>
      </c>
      <c r="AF12" s="22">
        <f t="shared" si="6"/>
        <v>14756.6</v>
      </c>
      <c r="AG12" s="22">
        <f t="shared" si="2"/>
        <v>22797.658333333336</v>
      </c>
      <c r="AH12" s="22">
        <f t="shared" si="7"/>
        <v>90.453424230513775</v>
      </c>
      <c r="AI12" s="23">
        <f t="shared" si="8"/>
        <v>35.271422247679688</v>
      </c>
      <c r="AJ12" s="23">
        <f t="shared" si="9"/>
        <v>23.277792785004571</v>
      </c>
      <c r="AK12" s="24" t="s">
        <v>147</v>
      </c>
      <c r="AL12" s="22">
        <f t="shared" si="3"/>
        <v>273571.90000000002</v>
      </c>
      <c r="AM12" s="22">
        <f t="shared" si="10"/>
        <v>273.57190000000003</v>
      </c>
      <c r="AN12" s="22">
        <f t="shared" si="11"/>
        <v>22.797658333333334</v>
      </c>
      <c r="AO12" s="34">
        <v>43841</v>
      </c>
      <c r="AP12" s="36">
        <f t="shared" si="4"/>
        <v>56.666666666666664</v>
      </c>
      <c r="AQ12" s="22">
        <f t="shared" si="12"/>
        <v>425366.68836375</v>
      </c>
      <c r="AR12" s="22">
        <f>3837.21*AP12*0.5</f>
        <v>108720.95</v>
      </c>
      <c r="AS12" s="22">
        <f t="shared" si="13"/>
        <v>614200.78411831241</v>
      </c>
      <c r="AT12" s="22">
        <f>((15150.56-215.68-1034.33)/AB12)*1000*AN12*AP12</f>
        <v>938702.79474134091</v>
      </c>
      <c r="AU12" s="42"/>
    </row>
    <row r="13" spans="1:47" x14ac:dyDescent="0.2">
      <c r="A13" s="17" t="s">
        <v>26</v>
      </c>
      <c r="B13" s="3" t="s">
        <v>27</v>
      </c>
      <c r="C13" s="3" t="s">
        <v>23</v>
      </c>
      <c r="D13" s="18" t="s">
        <v>136</v>
      </c>
      <c r="E13" s="19">
        <v>110.404</v>
      </c>
      <c r="F13" s="19">
        <v>127.526</v>
      </c>
      <c r="G13" s="19">
        <v>112.864</v>
      </c>
      <c r="H13" s="19">
        <v>112.372</v>
      </c>
      <c r="I13" s="19">
        <v>110</v>
      </c>
      <c r="J13" s="19">
        <v>111.19199999999999</v>
      </c>
      <c r="K13" s="19">
        <v>111.093</v>
      </c>
      <c r="L13" s="19">
        <v>110</v>
      </c>
      <c r="M13" s="19">
        <v>110</v>
      </c>
      <c r="N13" s="19">
        <v>110</v>
      </c>
      <c r="O13" s="19">
        <v>110</v>
      </c>
      <c r="P13" s="19">
        <v>110</v>
      </c>
      <c r="Q13" s="19">
        <f>3776.173+16880.462</f>
        <v>20656.634999999998</v>
      </c>
      <c r="R13" s="19">
        <f>4215.8+17197.532</f>
        <v>21413.331999999999</v>
      </c>
      <c r="S13" s="19">
        <f>3420.482+14624.478</f>
        <v>18044.96</v>
      </c>
      <c r="T13" s="19">
        <f>2822.604+14105.836</f>
        <v>16928.439999999999</v>
      </c>
      <c r="U13" s="19">
        <f>2124+11835</f>
        <v>13959</v>
      </c>
      <c r="V13" s="19">
        <f>3168.012+12293.349</f>
        <v>15461.361000000001</v>
      </c>
      <c r="W13" s="19">
        <f>3911.793+19149.993</f>
        <v>23061.786</v>
      </c>
      <c r="X13" s="19">
        <f>2891.09+13393.15</f>
        <v>16284.24</v>
      </c>
      <c r="Y13" s="19">
        <f>2131.66+10815.131</f>
        <v>12946.790999999999</v>
      </c>
      <c r="Z13" s="19">
        <f>1954.24+10056.529</f>
        <v>12010.769</v>
      </c>
      <c r="AA13" s="19">
        <f>1711.2+7847.769</f>
        <v>9558.969000000001</v>
      </c>
      <c r="AB13" s="19">
        <f>1534.941+8778.411</f>
        <v>10313.352000000001</v>
      </c>
      <c r="AC13" s="22">
        <f t="shared" si="0"/>
        <v>127.526</v>
      </c>
      <c r="AD13" s="22">
        <f t="shared" si="1"/>
        <v>112.12091666666667</v>
      </c>
      <c r="AE13" s="22">
        <f t="shared" si="5"/>
        <v>23061.786</v>
      </c>
      <c r="AF13" s="22">
        <f t="shared" si="6"/>
        <v>9558.969000000001</v>
      </c>
      <c r="AG13" s="22">
        <f t="shared" si="2"/>
        <v>15886.636250000001</v>
      </c>
      <c r="AH13" s="22">
        <f t="shared" si="7"/>
        <v>141.25808965381097</v>
      </c>
      <c r="AI13" s="23">
        <f t="shared" si="8"/>
        <v>39.830126091040825</v>
      </c>
      <c r="AJ13" s="23">
        <f t="shared" si="9"/>
        <v>45.164688339861733</v>
      </c>
      <c r="AK13" s="24" t="s">
        <v>147</v>
      </c>
      <c r="AL13" s="22">
        <f t="shared" si="3"/>
        <v>190639.63500000001</v>
      </c>
      <c r="AM13" s="22">
        <f t="shared" si="10"/>
        <v>190.639635</v>
      </c>
      <c r="AN13" s="22">
        <f t="shared" si="11"/>
        <v>15.88663625</v>
      </c>
      <c r="AO13" s="34">
        <v>43857</v>
      </c>
      <c r="AP13" s="36">
        <f t="shared" si="4"/>
        <v>56.133333333333333</v>
      </c>
      <c r="AQ13" s="22">
        <f t="shared" si="12"/>
        <v>293628.59905659745</v>
      </c>
      <c r="AR13" s="22">
        <f>1407.34*AP13*0.5</f>
        <v>39499.342666666664</v>
      </c>
      <c r="AS13" s="22">
        <f t="shared" si="13"/>
        <v>383097.13298175368</v>
      </c>
      <c r="AT13" s="22">
        <f>((7281-100.28-573.6)/AB13)*1000*AN13*AP13</f>
        <v>571301.20248188439</v>
      </c>
      <c r="AU13" s="42"/>
    </row>
    <row r="14" spans="1:47" x14ac:dyDescent="0.2">
      <c r="A14" s="17" t="s">
        <v>28</v>
      </c>
      <c r="B14" s="3" t="s">
        <v>29</v>
      </c>
      <c r="C14" s="3" t="s">
        <v>23</v>
      </c>
      <c r="D14" s="18" t="s">
        <v>136</v>
      </c>
      <c r="E14" s="19">
        <v>130</v>
      </c>
      <c r="F14" s="19">
        <v>146.86199999999999</v>
      </c>
      <c r="G14" s="19">
        <v>130</v>
      </c>
      <c r="H14" s="19">
        <v>130</v>
      </c>
      <c r="I14" s="19">
        <v>135.34899999999999</v>
      </c>
      <c r="J14" s="19">
        <v>145.09</v>
      </c>
      <c r="K14" s="19">
        <v>149.96100000000001</v>
      </c>
      <c r="L14" s="19">
        <v>130</v>
      </c>
      <c r="M14" s="19">
        <v>130</v>
      </c>
      <c r="N14" s="19">
        <v>130</v>
      </c>
      <c r="O14" s="19">
        <v>130</v>
      </c>
      <c r="P14" s="19">
        <v>130</v>
      </c>
      <c r="Q14" s="19">
        <f>4347.373+21528.419</f>
        <v>25875.792000000001</v>
      </c>
      <c r="R14" s="19">
        <f>4680.137+20063.784</f>
        <v>24743.920999999998</v>
      </c>
      <c r="S14" s="19">
        <f>4095.678+16561.679</f>
        <v>20657.357</v>
      </c>
      <c r="T14" s="19">
        <f>3981.657+18389.594</f>
        <v>22371.251</v>
      </c>
      <c r="U14" s="19">
        <f>3206.757+14700.406</f>
        <v>17907.163</v>
      </c>
      <c r="V14" s="19">
        <f>4384.753+18645.68</f>
        <v>23030.433000000001</v>
      </c>
      <c r="W14" s="19">
        <f>5462.233+28274.551</f>
        <v>33736.784</v>
      </c>
      <c r="X14" s="19">
        <f>4158.593+21614.986</f>
        <v>25773.579000000002</v>
      </c>
      <c r="Y14" s="19">
        <f>3724.132+19461.023</f>
        <v>23185.155000000002</v>
      </c>
      <c r="Z14" s="19">
        <f>3094.876+15862.682</f>
        <v>18957.558000000001</v>
      </c>
      <c r="AA14" s="19">
        <f>2840.193+14256.167</f>
        <v>17096.36</v>
      </c>
      <c r="AB14" s="19">
        <f>2899.528+16032.238</f>
        <v>18931.766</v>
      </c>
      <c r="AC14" s="22">
        <f t="shared" si="0"/>
        <v>149.96100000000001</v>
      </c>
      <c r="AD14" s="22">
        <f t="shared" si="1"/>
        <v>134.77183333333335</v>
      </c>
      <c r="AE14" s="22">
        <f t="shared" si="5"/>
        <v>33736.784</v>
      </c>
      <c r="AF14" s="22">
        <f t="shared" si="6"/>
        <v>17096.36</v>
      </c>
      <c r="AG14" s="22">
        <f t="shared" si="2"/>
        <v>22688.926583333334</v>
      </c>
      <c r="AH14" s="22">
        <f t="shared" si="7"/>
        <v>97.33313991984258</v>
      </c>
      <c r="AI14" s="23">
        <f t="shared" si="8"/>
        <v>24.648881306890384</v>
      </c>
      <c r="AJ14" s="23">
        <f t="shared" si="9"/>
        <v>48.692728481840653</v>
      </c>
      <c r="AK14" s="24" t="s">
        <v>148</v>
      </c>
      <c r="AL14" s="22">
        <f t="shared" si="3"/>
        <v>272267.11900000001</v>
      </c>
      <c r="AM14" s="22">
        <f t="shared" si="10"/>
        <v>272.26711899999998</v>
      </c>
      <c r="AN14" s="22">
        <f t="shared" si="11"/>
        <v>22.68892658333333</v>
      </c>
      <c r="AO14" s="34">
        <v>43765</v>
      </c>
      <c r="AP14" s="36">
        <f t="shared" si="4"/>
        <v>59.133333333333333</v>
      </c>
      <c r="AQ14" s="22">
        <f t="shared" si="12"/>
        <v>441765.58453107515</v>
      </c>
      <c r="AR14" s="22">
        <f>1663.22*AP14*0.5</f>
        <v>49175.871333333336</v>
      </c>
      <c r="AS14" s="22">
        <f t="shared" si="13"/>
        <v>564582.67424406973</v>
      </c>
      <c r="AT14" s="22">
        <f>((13701.43-189.45-1047.58)/AB14)*1000*AN14*AP14</f>
        <v>883337.28161863342</v>
      </c>
      <c r="AU14" s="42"/>
    </row>
    <row r="15" spans="1:47" x14ac:dyDescent="0.2">
      <c r="A15" s="17" t="s">
        <v>30</v>
      </c>
      <c r="B15" s="3" t="s">
        <v>31</v>
      </c>
      <c r="C15" s="3" t="s">
        <v>23</v>
      </c>
      <c r="D15" s="18" t="s">
        <v>136</v>
      </c>
      <c r="E15" s="19">
        <v>50</v>
      </c>
      <c r="F15" s="19">
        <v>50</v>
      </c>
      <c r="G15" s="19">
        <v>50</v>
      </c>
      <c r="H15" s="19">
        <v>50</v>
      </c>
      <c r="I15" s="19">
        <v>50</v>
      </c>
      <c r="J15" s="19">
        <v>50</v>
      </c>
      <c r="K15" s="19">
        <v>56.317</v>
      </c>
      <c r="L15" s="19">
        <v>50</v>
      </c>
      <c r="M15" s="19">
        <v>50</v>
      </c>
      <c r="N15" s="19">
        <v>50</v>
      </c>
      <c r="O15" s="19">
        <v>50</v>
      </c>
      <c r="P15" s="19">
        <v>50</v>
      </c>
      <c r="Q15" s="19">
        <f>1789.133+9331.837</f>
        <v>11120.97</v>
      </c>
      <c r="R15" s="19">
        <f>1708.01+8938.287</f>
        <v>10646.297</v>
      </c>
      <c r="S15" s="19">
        <f>1450.785+8510.435</f>
        <v>9961.2199999999993</v>
      </c>
      <c r="T15" s="19">
        <f>1535.966+8972.317</f>
        <v>10508.282999999999</v>
      </c>
      <c r="U15" s="19">
        <f>716.696+6163.825</f>
        <v>6880.5209999999997</v>
      </c>
      <c r="V15" s="19">
        <f>1470.12+8234.169</f>
        <v>9704.2890000000007</v>
      </c>
      <c r="W15" s="19">
        <f>1914.716+11355.638</f>
        <v>13270.354000000001</v>
      </c>
      <c r="X15" s="19">
        <f>1574+9240</f>
        <v>10814</v>
      </c>
      <c r="Y15" s="19">
        <f>1342.676+8023.568</f>
        <v>9366.2440000000006</v>
      </c>
      <c r="Z15" s="19">
        <f>1385.742+7907.005</f>
        <v>9292.7469999999994</v>
      </c>
      <c r="AA15" s="19">
        <f>1405.037+7470.372</f>
        <v>8875.4089999999997</v>
      </c>
      <c r="AB15" s="19">
        <f>1416.943+7279.279</f>
        <v>8696.2219999999998</v>
      </c>
      <c r="AC15" s="22">
        <f t="shared" ref="AC15" si="14">MAX(E15:P15)</f>
        <v>56.317</v>
      </c>
      <c r="AD15" s="22">
        <f t="shared" ref="AD15" si="15">AVERAGE(E15:P15)</f>
        <v>50.52641666666667</v>
      </c>
      <c r="AE15" s="22">
        <f t="shared" si="5"/>
        <v>13270.354000000001</v>
      </c>
      <c r="AF15" s="22">
        <f t="shared" si="6"/>
        <v>6880.5209999999997</v>
      </c>
      <c r="AG15" s="22">
        <f t="shared" ref="AG15" si="16">AVERAGE(Q15:AB15)</f>
        <v>9928.0463333333337</v>
      </c>
      <c r="AH15" s="22">
        <f t="shared" si="7"/>
        <v>92.868447026031916</v>
      </c>
      <c r="AI15" s="23">
        <f t="shared" si="8"/>
        <v>30.69612319496629</v>
      </c>
      <c r="AJ15" s="23">
        <f t="shared" si="9"/>
        <v>33.665310922702858</v>
      </c>
      <c r="AK15" s="24" t="s">
        <v>148</v>
      </c>
      <c r="AL15" s="22">
        <f t="shared" si="3"/>
        <v>119136.55600000001</v>
      </c>
      <c r="AM15" s="22">
        <f t="shared" si="10"/>
        <v>119.13655600000001</v>
      </c>
      <c r="AN15" s="22">
        <f t="shared" si="11"/>
        <v>9.9280463333333344</v>
      </c>
      <c r="AO15" s="34">
        <v>43940</v>
      </c>
      <c r="AP15" s="36">
        <f t="shared" si="4"/>
        <v>53.4</v>
      </c>
      <c r="AQ15" s="22">
        <f t="shared" si="12"/>
        <v>174562.36659546301</v>
      </c>
      <c r="AR15" s="22">
        <f>639.54*AP15*0.5</f>
        <v>17075.717999999997</v>
      </c>
      <c r="AS15" s="22">
        <f t="shared" si="13"/>
        <v>220383.79728478243</v>
      </c>
      <c r="AT15" s="22">
        <f>((5996.71-92.58-475.64)/AB15)*1000*AN15*AP15</f>
        <v>330943.21106544411</v>
      </c>
      <c r="AU15" s="42"/>
    </row>
    <row r="16" spans="1:47" x14ac:dyDescent="0.2">
      <c r="A16" s="17" t="s">
        <v>32</v>
      </c>
      <c r="B16" s="3" t="s">
        <v>33</v>
      </c>
      <c r="C16" s="3" t="s">
        <v>23</v>
      </c>
      <c r="D16" s="18" t="s">
        <v>136</v>
      </c>
      <c r="E16" s="19">
        <v>300</v>
      </c>
      <c r="F16" s="19">
        <v>300</v>
      </c>
      <c r="G16" s="19">
        <v>240</v>
      </c>
      <c r="H16" s="19">
        <v>240</v>
      </c>
      <c r="I16" s="19">
        <v>240</v>
      </c>
      <c r="J16" s="19">
        <v>240</v>
      </c>
      <c r="K16" s="19">
        <v>240</v>
      </c>
      <c r="L16" s="19">
        <v>240</v>
      </c>
      <c r="M16" s="19">
        <v>240</v>
      </c>
      <c r="N16" s="19">
        <v>240</v>
      </c>
      <c r="O16" s="19">
        <v>240</v>
      </c>
      <c r="P16" s="19">
        <v>240</v>
      </c>
      <c r="Q16" s="19">
        <f>6448.35+38342.7</f>
        <v>44791.049999999996</v>
      </c>
      <c r="R16" s="19">
        <f>7094.1+44326.2</f>
        <v>51420.299999999996</v>
      </c>
      <c r="S16" s="19">
        <f>8148.75+43833.3</f>
        <v>51982.05</v>
      </c>
      <c r="T16" s="19">
        <f>7372.2+43849.05</f>
        <v>51221.25</v>
      </c>
      <c r="U16" s="19">
        <f>5196+33629.1</f>
        <v>38825.1</v>
      </c>
      <c r="V16" s="19">
        <f>8162.4+41414.1</f>
        <v>49576.5</v>
      </c>
      <c r="W16" s="19">
        <f>7200+42643</f>
        <v>49843</v>
      </c>
      <c r="X16" s="19">
        <f>7749+45795.15</f>
        <v>53544.15</v>
      </c>
      <c r="Y16" s="19">
        <f>6816+39072</f>
        <v>45888</v>
      </c>
      <c r="Z16" s="19">
        <f>5478+34364.85</f>
        <v>39842.85</v>
      </c>
      <c r="AA16" s="19">
        <f>6161.1+35333.1</f>
        <v>41494.199999999997</v>
      </c>
      <c r="AB16" s="19">
        <f>5397.45+33000.15</f>
        <v>38397.599999999999</v>
      </c>
      <c r="AC16" s="22">
        <f t="shared" ref="AC16" si="17">MAX(E16:P16)</f>
        <v>300</v>
      </c>
      <c r="AD16" s="22">
        <f t="shared" ref="AD16" si="18">AVERAGE(E16:P16)</f>
        <v>250</v>
      </c>
      <c r="AE16" s="22">
        <f t="shared" si="5"/>
        <v>53544.15</v>
      </c>
      <c r="AF16" s="22">
        <f t="shared" si="6"/>
        <v>38397.599999999999</v>
      </c>
      <c r="AG16" s="22">
        <f t="shared" ref="AG16" si="19">AVERAGE(Q16:AB16)</f>
        <v>46402.170833333337</v>
      </c>
      <c r="AH16" s="22">
        <f t="shared" si="7"/>
        <v>39.446606037877373</v>
      </c>
      <c r="AI16" s="23">
        <f t="shared" si="8"/>
        <v>17.250423179734504</v>
      </c>
      <c r="AJ16" s="23">
        <f t="shared" si="9"/>
        <v>15.391476386566319</v>
      </c>
      <c r="AK16" s="24" t="s">
        <v>147</v>
      </c>
      <c r="AL16" s="22">
        <f t="shared" si="3"/>
        <v>556826.05000000005</v>
      </c>
      <c r="AM16" s="22">
        <f t="shared" si="10"/>
        <v>556.82605000000001</v>
      </c>
      <c r="AN16" s="22">
        <f t="shared" si="11"/>
        <v>46.402170833333336</v>
      </c>
      <c r="AO16" s="34">
        <v>44017</v>
      </c>
      <c r="AP16" s="36">
        <f t="shared" si="4"/>
        <v>50.866666666666667</v>
      </c>
      <c r="AQ16" s="22">
        <f t="shared" si="12"/>
        <v>777172.00164738763</v>
      </c>
      <c r="AR16" s="22">
        <f>3069.77*AP16*0.5</f>
        <v>78074.483666666667</v>
      </c>
      <c r="AS16" s="22">
        <f t="shared" si="13"/>
        <v>983533.45811116241</v>
      </c>
      <c r="AT16" s="22">
        <f>((24842.3-352.68-2156.3)/AB16)*1000*AN16*AP16</f>
        <v>1372842.7233742499</v>
      </c>
      <c r="AU16" s="42"/>
    </row>
    <row r="17" spans="1:47" x14ac:dyDescent="0.2">
      <c r="A17" s="17" t="s">
        <v>34</v>
      </c>
      <c r="B17" s="3" t="s">
        <v>35</v>
      </c>
      <c r="C17" s="3" t="s">
        <v>23</v>
      </c>
      <c r="D17" s="18" t="s">
        <v>136</v>
      </c>
      <c r="E17" s="19">
        <v>168.84</v>
      </c>
      <c r="F17" s="19">
        <v>175.44</v>
      </c>
      <c r="G17" s="19">
        <v>163.9</v>
      </c>
      <c r="H17" s="19">
        <v>164.64</v>
      </c>
      <c r="I17" s="19">
        <v>150</v>
      </c>
      <c r="J17" s="19">
        <v>150</v>
      </c>
      <c r="K17" s="19">
        <v>163.80000000000001</v>
      </c>
      <c r="L17" s="19">
        <v>150</v>
      </c>
      <c r="M17" s="19">
        <v>150</v>
      </c>
      <c r="N17" s="19">
        <v>150</v>
      </c>
      <c r="O17" s="19">
        <v>150</v>
      </c>
      <c r="P17" s="19">
        <v>150</v>
      </c>
      <c r="Q17" s="19">
        <f>7663.95+33148.17</f>
        <v>40812.119999999995</v>
      </c>
      <c r="R17" s="19">
        <f>7833.4+32029.86</f>
        <v>39863.26</v>
      </c>
      <c r="S17" s="19">
        <f>6764.1+28212.75</f>
        <v>34976.85</v>
      </c>
      <c r="T17" s="19">
        <f>5845.98+26895.96</f>
        <v>32741.94</v>
      </c>
      <c r="U17" s="19">
        <f>4185.15+19025.43</f>
        <v>23210.58</v>
      </c>
      <c r="V17" s="19">
        <f>5881+24476</f>
        <v>30357</v>
      </c>
      <c r="W17" s="19">
        <f>8094.66+34244.82</f>
        <v>42339.479999999996</v>
      </c>
      <c r="X17" s="19">
        <f>6972.21+31103.46</f>
        <v>38075.67</v>
      </c>
      <c r="Y17" s="19">
        <f>5850+26173</f>
        <v>32023</v>
      </c>
      <c r="Z17" s="19">
        <f>5456.85+24136.74</f>
        <v>29593.590000000004</v>
      </c>
      <c r="AA17" s="19">
        <f>5481.57+24661.92</f>
        <v>30143.489999999998</v>
      </c>
      <c r="AB17" s="19">
        <f>5380.02+23464.23</f>
        <v>28844.25</v>
      </c>
      <c r="AC17" s="22">
        <f t="shared" ref="AC17" si="20">MAX(E17:P17)</f>
        <v>175.44</v>
      </c>
      <c r="AD17" s="22">
        <f t="shared" ref="AD17" si="21">AVERAGE(E17:P17)</f>
        <v>157.21833333333333</v>
      </c>
      <c r="AE17" s="22">
        <f t="shared" si="5"/>
        <v>42339.479999999996</v>
      </c>
      <c r="AF17" s="22">
        <f t="shared" si="6"/>
        <v>23210.58</v>
      </c>
      <c r="AG17" s="22">
        <f t="shared" ref="AG17" si="22">AVERAGE(Q17:AB17)</f>
        <v>33581.769166666665</v>
      </c>
      <c r="AH17" s="22">
        <f t="shared" si="7"/>
        <v>82.414571286025563</v>
      </c>
      <c r="AI17" s="23">
        <f t="shared" si="8"/>
        <v>30.88339126862062</v>
      </c>
      <c r="AJ17" s="23">
        <f t="shared" si="9"/>
        <v>26.078765504785416</v>
      </c>
      <c r="AK17" s="24" t="s">
        <v>147</v>
      </c>
      <c r="AL17" s="22">
        <f t="shared" si="3"/>
        <v>402981.23</v>
      </c>
      <c r="AM17" s="22">
        <f t="shared" si="10"/>
        <v>402.98122999999998</v>
      </c>
      <c r="AN17" s="22">
        <f t="shared" si="11"/>
        <v>33.581769166666668</v>
      </c>
      <c r="AO17" s="34">
        <v>44129</v>
      </c>
      <c r="AP17" s="36">
        <f t="shared" si="4"/>
        <v>47.2</v>
      </c>
      <c r="AQ17" s="22">
        <f t="shared" si="12"/>
        <v>521904.61780407</v>
      </c>
      <c r="AR17" s="22">
        <f>1894.6*AP17*0.5</f>
        <v>44712.56</v>
      </c>
      <c r="AS17" s="22">
        <f t="shared" si="13"/>
        <v>651609.75447468052</v>
      </c>
      <c r="AT17" s="22">
        <f>((21600.02-351.54-1533.21)/AB17)*1000*AN17*AP17</f>
        <v>1083400.5425888903</v>
      </c>
      <c r="AU17" s="42"/>
    </row>
    <row r="18" spans="1:47" x14ac:dyDescent="0.2">
      <c r="A18" s="17" t="s">
        <v>36</v>
      </c>
      <c r="B18" s="3" t="s">
        <v>48</v>
      </c>
      <c r="C18" s="3" t="s">
        <v>37</v>
      </c>
      <c r="D18" s="18" t="s">
        <v>136</v>
      </c>
      <c r="E18" s="19">
        <v>2000</v>
      </c>
      <c r="F18" s="19">
        <v>2000</v>
      </c>
      <c r="G18" s="19">
        <v>2000</v>
      </c>
      <c r="H18" s="19">
        <v>2000</v>
      </c>
      <c r="I18" s="19">
        <v>2000</v>
      </c>
      <c r="J18" s="19">
        <v>2000</v>
      </c>
      <c r="K18" s="19">
        <v>2000</v>
      </c>
      <c r="L18" s="19">
        <v>2000</v>
      </c>
      <c r="M18" s="20">
        <v>2000</v>
      </c>
      <c r="N18" s="20">
        <v>2000</v>
      </c>
      <c r="O18" s="20">
        <v>2000</v>
      </c>
      <c r="P18" s="20">
        <v>2000</v>
      </c>
      <c r="Q18" s="19">
        <f>75914.2+440336.4</f>
        <v>516250.60000000003</v>
      </c>
      <c r="R18" s="19">
        <f>81897.5+481978.6</f>
        <v>563876.1</v>
      </c>
      <c r="S18" s="19">
        <f>78519.8+469108.1</f>
        <v>547627.9</v>
      </c>
      <c r="T18" s="19">
        <f>54324.5+373968.8</f>
        <v>428293.3</v>
      </c>
      <c r="U18" s="19">
        <f>60144.8+414748.3</f>
        <v>474893.1</v>
      </c>
      <c r="V18" s="19">
        <f>68723.8+423213</f>
        <v>491936.8</v>
      </c>
      <c r="W18" s="19">
        <f>85331.4+526683.4</f>
        <v>612014.80000000005</v>
      </c>
      <c r="X18" s="19">
        <f>81231.4+461405.3</f>
        <v>542636.69999999995</v>
      </c>
      <c r="Y18" s="19">
        <v>544315.80000000005</v>
      </c>
      <c r="Z18" s="19">
        <v>501429.6</v>
      </c>
      <c r="AA18" s="19">
        <v>437678.6</v>
      </c>
      <c r="AB18" s="19">
        <v>526454.9</v>
      </c>
      <c r="AC18" s="22">
        <f t="shared" ref="AC18:AC20" si="23">MAX(E18:P18)</f>
        <v>2000</v>
      </c>
      <c r="AD18" s="22">
        <f t="shared" ref="AD18:AD20" si="24">AVERAGE(E18:P18)</f>
        <v>2000</v>
      </c>
      <c r="AE18" s="22">
        <f t="shared" si="5"/>
        <v>612014.80000000005</v>
      </c>
      <c r="AF18" s="22">
        <f t="shared" si="6"/>
        <v>428293.3</v>
      </c>
      <c r="AG18" s="22">
        <f t="shared" ref="AG18:AG20" si="25">AVERAGE(Q18:AB18)</f>
        <v>515617.34999999992</v>
      </c>
      <c r="AH18" s="22">
        <f t="shared" si="7"/>
        <v>42.896188196266451</v>
      </c>
      <c r="AI18" s="23">
        <f t="shared" si="8"/>
        <v>16.935824599385558</v>
      </c>
      <c r="AJ18" s="23">
        <f t="shared" si="9"/>
        <v>18.695540404138871</v>
      </c>
      <c r="AK18" s="24" t="s">
        <v>147</v>
      </c>
      <c r="AL18" s="22">
        <f t="shared" si="3"/>
        <v>6187408.1999999993</v>
      </c>
      <c r="AM18" s="22">
        <f t="shared" si="10"/>
        <v>6187.4081999999989</v>
      </c>
      <c r="AN18" s="22">
        <f t="shared" si="11"/>
        <v>515.61734999999987</v>
      </c>
      <c r="AO18" s="34">
        <v>44013</v>
      </c>
      <c r="AP18" s="36">
        <f t="shared" ref="AP18:AP63" si="26">DAYS360(AO18,AQ$7)/(30)</f>
        <v>51</v>
      </c>
      <c r="AQ18" s="22">
        <f t="shared" si="12"/>
        <v>8658512.0841352474</v>
      </c>
      <c r="AR18" s="22">
        <f>(2000*11.17)*AP18*0.5</f>
        <v>569670</v>
      </c>
      <c r="AS18" s="22">
        <f t="shared" si="13"/>
        <v>10612409.396755533</v>
      </c>
      <c r="AT18" s="22">
        <f>0.48802*1000*AN18*AP18</f>
        <v>12833210.536496997</v>
      </c>
      <c r="AU18" s="42"/>
    </row>
    <row r="19" spans="1:47" x14ac:dyDescent="0.2">
      <c r="A19" s="17" t="s">
        <v>38</v>
      </c>
      <c r="B19" s="3" t="s">
        <v>48</v>
      </c>
      <c r="C19" s="3" t="s">
        <v>37</v>
      </c>
      <c r="D19" s="18" t="s">
        <v>136</v>
      </c>
      <c r="E19" s="19">
        <v>50</v>
      </c>
      <c r="F19" s="19">
        <v>50</v>
      </c>
      <c r="G19" s="19">
        <v>50</v>
      </c>
      <c r="H19" s="19">
        <v>50</v>
      </c>
      <c r="I19" s="19">
        <v>50</v>
      </c>
      <c r="J19" s="19">
        <v>50</v>
      </c>
      <c r="K19" s="19">
        <v>50</v>
      </c>
      <c r="L19" s="19">
        <v>50</v>
      </c>
      <c r="M19" s="20">
        <v>50</v>
      </c>
      <c r="N19" s="20">
        <v>50</v>
      </c>
      <c r="O19" s="20">
        <v>50</v>
      </c>
      <c r="P19" s="20">
        <v>50</v>
      </c>
      <c r="Q19" s="19">
        <f>1242.3+12801.6</f>
        <v>14043.9</v>
      </c>
      <c r="R19" s="19">
        <f>1195.6+11403</f>
        <v>12598.6</v>
      </c>
      <c r="S19" s="19">
        <f>1097.9+11591.9</f>
        <v>12689.8</v>
      </c>
      <c r="T19" s="19">
        <f>752.1+7102.5</f>
        <v>7854.6</v>
      </c>
      <c r="U19" s="19">
        <f>480.9+4048.1</f>
        <v>4529</v>
      </c>
      <c r="V19" s="19">
        <f>444.8+3746.1</f>
        <v>4190.8999999999996</v>
      </c>
      <c r="W19" s="19">
        <f>745.5+7464.2</f>
        <v>8209.7000000000007</v>
      </c>
      <c r="X19" s="19">
        <f>516.1+5016.9</f>
        <v>5533</v>
      </c>
      <c r="Y19" s="19">
        <v>8631.7000000000007</v>
      </c>
      <c r="Z19" s="19">
        <v>7970</v>
      </c>
      <c r="AA19" s="19">
        <v>7557.8</v>
      </c>
      <c r="AB19" s="19">
        <v>0</v>
      </c>
      <c r="AC19" s="22">
        <f t="shared" si="23"/>
        <v>50</v>
      </c>
      <c r="AD19" s="22">
        <f t="shared" si="24"/>
        <v>50</v>
      </c>
      <c r="AE19" s="22">
        <f t="shared" si="5"/>
        <v>14043.9</v>
      </c>
      <c r="AF19" s="22">
        <f>MIN(Q19:AA19)</f>
        <v>4190.8999999999996</v>
      </c>
      <c r="AG19" s="22">
        <f t="shared" si="25"/>
        <v>7817.416666666667</v>
      </c>
      <c r="AH19" s="22">
        <f t="shared" si="7"/>
        <v>235.10463146340882</v>
      </c>
      <c r="AI19" s="23">
        <f t="shared" si="8"/>
        <v>46.390218422539419</v>
      </c>
      <c r="AJ19" s="23">
        <f t="shared" si="9"/>
        <v>79.648860983487708</v>
      </c>
      <c r="AK19" s="24" t="s">
        <v>147</v>
      </c>
      <c r="AL19" s="22">
        <f t="shared" si="3"/>
        <v>93809</v>
      </c>
      <c r="AM19" s="22">
        <f t="shared" si="10"/>
        <v>93.808999999999997</v>
      </c>
      <c r="AN19" s="22">
        <f t="shared" si="11"/>
        <v>7.8174166666666665</v>
      </c>
      <c r="AO19" s="34">
        <v>44013</v>
      </c>
      <c r="AP19" s="36">
        <f t="shared" si="26"/>
        <v>51</v>
      </c>
      <c r="AQ19" s="22">
        <f t="shared" si="12"/>
        <v>131274.08663624999</v>
      </c>
      <c r="AR19" s="22">
        <f>(50*11.17)*AP19*0.5</f>
        <v>14241.75</v>
      </c>
      <c r="AS19" s="22">
        <f t="shared" si="13"/>
        <v>167343.21213168747</v>
      </c>
      <c r="AT19" s="22">
        <f>0.48802*1000*AN19*AP19</f>
        <v>194567.83976499998</v>
      </c>
      <c r="AU19" s="42"/>
    </row>
    <row r="20" spans="1:47" x14ac:dyDescent="0.2">
      <c r="A20" s="17" t="s">
        <v>39</v>
      </c>
      <c r="B20" s="3" t="s">
        <v>40</v>
      </c>
      <c r="C20" s="3" t="s">
        <v>41</v>
      </c>
      <c r="D20" s="18" t="s">
        <v>136</v>
      </c>
      <c r="E20" s="19">
        <v>150</v>
      </c>
      <c r="F20" s="19">
        <v>150</v>
      </c>
      <c r="G20" s="19">
        <v>150</v>
      </c>
      <c r="H20" s="19">
        <v>150</v>
      </c>
      <c r="I20" s="19">
        <v>150</v>
      </c>
      <c r="J20" s="19">
        <v>150</v>
      </c>
      <c r="K20" s="19">
        <v>150</v>
      </c>
      <c r="L20" s="19">
        <v>150</v>
      </c>
      <c r="M20" s="19">
        <v>150</v>
      </c>
      <c r="N20" s="19">
        <v>150</v>
      </c>
      <c r="O20" s="20">
        <v>150</v>
      </c>
      <c r="P20" s="19">
        <v>150</v>
      </c>
      <c r="Q20" s="19">
        <f>4556+22048</f>
        <v>26604</v>
      </c>
      <c r="R20" s="19">
        <f>3858+21966</f>
        <v>25824</v>
      </c>
      <c r="S20" s="19">
        <f>4000+21274</f>
        <v>25274</v>
      </c>
      <c r="T20" s="19">
        <f>3373+17550</f>
        <v>20923</v>
      </c>
      <c r="U20" s="19">
        <f>2913+16948</f>
        <v>19861</v>
      </c>
      <c r="V20" s="19">
        <f>4235+21786</f>
        <v>26021</v>
      </c>
      <c r="W20" s="19">
        <f>4372+23089</f>
        <v>27461</v>
      </c>
      <c r="X20" s="19">
        <f>4007+20390</f>
        <v>24397</v>
      </c>
      <c r="Y20" s="19">
        <f>3098+16956</f>
        <v>20054</v>
      </c>
      <c r="Z20" s="19">
        <f>3365+15495</f>
        <v>18860</v>
      </c>
      <c r="AA20" s="19">
        <v>14428</v>
      </c>
      <c r="AB20" s="19">
        <f>3042+15754</f>
        <v>18796</v>
      </c>
      <c r="AC20" s="22">
        <f t="shared" si="23"/>
        <v>150</v>
      </c>
      <c r="AD20" s="22">
        <f t="shared" si="24"/>
        <v>150</v>
      </c>
      <c r="AE20" s="22">
        <f t="shared" si="5"/>
        <v>27461</v>
      </c>
      <c r="AF20" s="22">
        <f t="shared" si="6"/>
        <v>14428</v>
      </c>
      <c r="AG20" s="22">
        <f t="shared" si="25"/>
        <v>22375.25</v>
      </c>
      <c r="AH20" s="22">
        <f t="shared" si="7"/>
        <v>90.33130024951484</v>
      </c>
      <c r="AI20" s="23">
        <f t="shared" si="8"/>
        <v>35.518038904593247</v>
      </c>
      <c r="AJ20" s="23">
        <f t="shared" si="9"/>
        <v>22.729354979273975</v>
      </c>
      <c r="AK20" s="24" t="s">
        <v>147</v>
      </c>
      <c r="AL20" s="22">
        <f t="shared" si="3"/>
        <v>268503</v>
      </c>
      <c r="AM20" s="22">
        <f t="shared" si="10"/>
        <v>268.50299999999999</v>
      </c>
      <c r="AN20" s="22">
        <f t="shared" si="11"/>
        <v>22.375249999999998</v>
      </c>
      <c r="AO20" s="34">
        <v>43968</v>
      </c>
      <c r="AP20" s="36">
        <f t="shared" si="26"/>
        <v>52.466666666666669</v>
      </c>
      <c r="AQ20" s="22">
        <f t="shared" si="12"/>
        <v>386542.22173425002</v>
      </c>
      <c r="AR20" s="22">
        <f>(80*14.83)*AP20*0.5</f>
        <v>31123.226666666669</v>
      </c>
      <c r="AS20" s="22">
        <f t="shared" si="13"/>
        <v>480315.26566105417</v>
      </c>
      <c r="AT20" s="22">
        <f>((14137.03-31.98-696.14)/AB20)*1000*AN20*AP20</f>
        <v>837489.57404693391</v>
      </c>
      <c r="AU20" s="42"/>
    </row>
    <row r="21" spans="1:47" x14ac:dyDescent="0.2">
      <c r="A21" s="17" t="s">
        <v>49</v>
      </c>
      <c r="B21" s="3" t="s">
        <v>50</v>
      </c>
      <c r="C21" s="3" t="s">
        <v>37</v>
      </c>
      <c r="D21" s="18" t="s">
        <v>149</v>
      </c>
      <c r="E21" s="19">
        <v>450</v>
      </c>
      <c r="F21" s="19">
        <v>450</v>
      </c>
      <c r="G21" s="19">
        <v>450</v>
      </c>
      <c r="H21" s="19">
        <v>450</v>
      </c>
      <c r="I21" s="19">
        <v>450</v>
      </c>
      <c r="J21" s="19">
        <v>450</v>
      </c>
      <c r="K21" s="19">
        <v>450</v>
      </c>
      <c r="L21" s="19">
        <v>450</v>
      </c>
      <c r="M21" s="20">
        <v>450</v>
      </c>
      <c r="N21" s="20">
        <f>450</f>
        <v>450</v>
      </c>
      <c r="O21" s="20">
        <v>450</v>
      </c>
      <c r="P21" s="19">
        <v>450</v>
      </c>
      <c r="Q21" s="19">
        <f>7282.7+45808.9</f>
        <v>53091.6</v>
      </c>
      <c r="R21" s="19">
        <f>6840.1+40695.1</f>
        <v>47535.199999999997</v>
      </c>
      <c r="S21" s="19">
        <f>7074.2+45449.8</f>
        <v>52524</v>
      </c>
      <c r="T21" s="19">
        <f>7449.3+45721</f>
        <v>53170.3</v>
      </c>
      <c r="U21" s="19">
        <f>5382.6+34495.5</f>
        <v>39878.1</v>
      </c>
      <c r="V21" s="19">
        <f>7562.6+45968.4</f>
        <v>53531</v>
      </c>
      <c r="W21" s="19">
        <f>8513.7+50928.4</f>
        <v>59442.100000000006</v>
      </c>
      <c r="X21" s="19">
        <f>7355+46956.6</f>
        <v>54311.6</v>
      </c>
      <c r="Y21" s="19">
        <v>60092.6</v>
      </c>
      <c r="Z21" s="19">
        <f>5582.1+33819.6</f>
        <v>39401.699999999997</v>
      </c>
      <c r="AA21" s="19">
        <v>54047.8</v>
      </c>
      <c r="AB21" s="19">
        <f>5508.4+35455.6</f>
        <v>40964</v>
      </c>
      <c r="AC21" s="22">
        <f t="shared" ref="AC21:AC22" si="27">MAX(E21:P21)</f>
        <v>450</v>
      </c>
      <c r="AD21" s="22">
        <f t="shared" ref="AD21:AD22" si="28">AVERAGE(E21:P21)</f>
        <v>450</v>
      </c>
      <c r="AE21" s="22">
        <f t="shared" si="5"/>
        <v>60092.6</v>
      </c>
      <c r="AF21" s="22">
        <f t="shared" si="6"/>
        <v>39401.699999999997</v>
      </c>
      <c r="AG21" s="22">
        <f t="shared" ref="AG21:AG22" si="29">AVERAGE(Q21:AB21)</f>
        <v>50665.833333333321</v>
      </c>
      <c r="AH21" s="22">
        <f t="shared" si="7"/>
        <v>52.512708842511877</v>
      </c>
      <c r="AI21" s="23">
        <f t="shared" si="8"/>
        <v>22.232207766575097</v>
      </c>
      <c r="AJ21" s="23">
        <f t="shared" si="9"/>
        <v>18.605766542212891</v>
      </c>
      <c r="AK21" s="24" t="s">
        <v>147</v>
      </c>
      <c r="AL21" s="22">
        <f t="shared" si="3"/>
        <v>607989.99999999988</v>
      </c>
      <c r="AM21" s="22">
        <f t="shared" si="10"/>
        <v>607.9899999999999</v>
      </c>
      <c r="AN21" s="22">
        <f t="shared" si="11"/>
        <v>50.665833333333325</v>
      </c>
      <c r="AO21" s="34">
        <v>44013</v>
      </c>
      <c r="AP21" s="36">
        <f t="shared" si="26"/>
        <v>51</v>
      </c>
      <c r="AQ21" s="22">
        <f t="shared" si="12"/>
        <v>850806.76623749989</v>
      </c>
      <c r="AR21" s="22">
        <f>(450*11.17)*AP21*0.5</f>
        <v>128175.75</v>
      </c>
      <c r="AS21" s="22">
        <f t="shared" si="13"/>
        <v>1125829.8936731247</v>
      </c>
      <c r="AT21" s="22">
        <f>((32950.49-2178.27-338.43)/AB21)*1000*AN21*AP21</f>
        <v>1919725.1226424417</v>
      </c>
      <c r="AU21" s="42"/>
    </row>
    <row r="22" spans="1:47" x14ac:dyDescent="0.2">
      <c r="A22" s="17" t="s">
        <v>51</v>
      </c>
      <c r="B22" s="3" t="s">
        <v>52</v>
      </c>
      <c r="C22" s="3" t="s">
        <v>23</v>
      </c>
      <c r="D22" s="18" t="s">
        <v>136</v>
      </c>
      <c r="E22" s="19">
        <v>90</v>
      </c>
      <c r="F22" s="19">
        <v>90</v>
      </c>
      <c r="G22" s="19">
        <v>100.36799999999999</v>
      </c>
      <c r="H22" s="19">
        <v>96.366</v>
      </c>
      <c r="I22" s="19">
        <v>90</v>
      </c>
      <c r="J22" s="19">
        <v>90.79</v>
      </c>
      <c r="K22" s="19">
        <v>103.32</v>
      </c>
      <c r="L22" s="19">
        <v>91.445999999999998</v>
      </c>
      <c r="M22" s="19">
        <v>90</v>
      </c>
      <c r="N22" s="19">
        <v>90</v>
      </c>
      <c r="O22" s="19">
        <v>90</v>
      </c>
      <c r="P22" s="19">
        <v>90</v>
      </c>
      <c r="Q22" s="19">
        <v>17170</v>
      </c>
      <c r="R22" s="19">
        <v>13130.971</v>
      </c>
      <c r="S22" s="19">
        <f>18668.038</f>
        <v>18668.038</v>
      </c>
      <c r="T22" s="19">
        <f>15331.261</f>
        <v>15331.261</v>
      </c>
      <c r="U22" s="19">
        <v>9303.5390000000007</v>
      </c>
      <c r="V22" s="19">
        <v>14638.425999999999</v>
      </c>
      <c r="W22" s="19">
        <f>18936.637</f>
        <v>18936.636999999999</v>
      </c>
      <c r="X22" s="19">
        <f>3626.925+15266.235</f>
        <v>18893.16</v>
      </c>
      <c r="Y22" s="19">
        <f>2824.129+12473.364</f>
        <v>15297.492999999999</v>
      </c>
      <c r="Z22" s="19">
        <f>2395.121+11208.563</f>
        <v>13603.684000000001</v>
      </c>
      <c r="AA22" s="19">
        <f>2363.715+10513.318</f>
        <v>12877.032999999999</v>
      </c>
      <c r="AB22" s="19">
        <f>2390.332+10817.948</f>
        <v>13208.28</v>
      </c>
      <c r="AC22" s="22">
        <f t="shared" si="27"/>
        <v>103.32</v>
      </c>
      <c r="AD22" s="22">
        <f t="shared" si="28"/>
        <v>92.69083333333333</v>
      </c>
      <c r="AE22" s="22">
        <f t="shared" si="5"/>
        <v>18936.636999999999</v>
      </c>
      <c r="AF22" s="22">
        <f t="shared" si="6"/>
        <v>9303.5390000000007</v>
      </c>
      <c r="AG22" s="22">
        <f t="shared" si="29"/>
        <v>15088.210166666666</v>
      </c>
      <c r="AH22" s="22">
        <f t="shared" si="7"/>
        <v>103.54229718389956</v>
      </c>
      <c r="AI22" s="23">
        <f t="shared" si="8"/>
        <v>38.3390150506144</v>
      </c>
      <c r="AJ22" s="23">
        <f t="shared" si="9"/>
        <v>25.506185232198021</v>
      </c>
      <c r="AK22" s="24" t="s">
        <v>148</v>
      </c>
      <c r="AL22" s="22">
        <f t="shared" si="3"/>
        <v>181058.522</v>
      </c>
      <c r="AM22" s="22">
        <f t="shared" si="10"/>
        <v>181.05852200000001</v>
      </c>
      <c r="AN22" s="22">
        <f t="shared" si="11"/>
        <v>15.088210166666668</v>
      </c>
      <c r="AO22" s="34">
        <v>43843</v>
      </c>
      <c r="AP22" s="36">
        <f t="shared" si="26"/>
        <v>56.6</v>
      </c>
      <c r="AQ22" s="22">
        <f t="shared" si="12"/>
        <v>281189.90486185654</v>
      </c>
      <c r="AR22" s="22">
        <f>1151.46*AP22*0.5</f>
        <v>32586.318000000003</v>
      </c>
      <c r="AS22" s="22">
        <f t="shared" si="13"/>
        <v>360842.656291135</v>
      </c>
      <c r="AT22" s="22">
        <f>((9135.96-156.17-706.86)/AB22)*1000*AN22*AP22</f>
        <v>534893.39943060605</v>
      </c>
      <c r="AU22" s="42"/>
    </row>
    <row r="23" spans="1:47" x14ac:dyDescent="0.2">
      <c r="A23" s="17" t="s">
        <v>53</v>
      </c>
      <c r="B23" s="3" t="s">
        <v>54</v>
      </c>
      <c r="C23" s="3" t="s">
        <v>55</v>
      </c>
      <c r="D23" s="18" t="s">
        <v>137</v>
      </c>
      <c r="E23" s="19">
        <v>430</v>
      </c>
      <c r="F23" s="19">
        <v>430</v>
      </c>
      <c r="G23" s="19">
        <v>430</v>
      </c>
      <c r="H23" s="19">
        <v>430</v>
      </c>
      <c r="I23" s="19">
        <v>430</v>
      </c>
      <c r="J23" s="19">
        <v>430</v>
      </c>
      <c r="K23" s="19">
        <v>430</v>
      </c>
      <c r="L23" s="19">
        <v>430</v>
      </c>
      <c r="M23" s="19">
        <v>430</v>
      </c>
      <c r="N23" s="19">
        <v>434.59</v>
      </c>
      <c r="O23" s="19">
        <v>448.41</v>
      </c>
      <c r="P23" s="19">
        <v>460.51</v>
      </c>
      <c r="Q23" s="19">
        <f>19552+162174</f>
        <v>181726</v>
      </c>
      <c r="R23" s="19">
        <f>18305+143547</f>
        <v>161852</v>
      </c>
      <c r="S23" s="19">
        <f>17997+162217</f>
        <v>180214</v>
      </c>
      <c r="T23" s="19">
        <f>18991+153041</f>
        <v>172032</v>
      </c>
      <c r="U23" s="19">
        <f>18857+154548</f>
        <v>173405</v>
      </c>
      <c r="V23" s="19">
        <f>17095+145304</f>
        <v>162399</v>
      </c>
      <c r="W23" s="19">
        <f>20266+165895</f>
        <v>186161</v>
      </c>
      <c r="X23" s="19">
        <f>17804+155492</f>
        <v>173296</v>
      </c>
      <c r="Y23" s="19">
        <f>19854+170344</f>
        <v>190198</v>
      </c>
      <c r="Z23" s="19">
        <f>19787+155323</f>
        <v>175110</v>
      </c>
      <c r="AA23" s="19">
        <f>24339+179728</f>
        <v>204067</v>
      </c>
      <c r="AB23" s="19">
        <f>20516+163163</f>
        <v>183679</v>
      </c>
      <c r="AC23" s="22">
        <f t="shared" ref="AC23" si="30">MAX(E23:P23)</f>
        <v>460.51</v>
      </c>
      <c r="AD23" s="22">
        <f t="shared" ref="AD23" si="31">AVERAGE(E23:P23)</f>
        <v>434.4591666666667</v>
      </c>
      <c r="AE23" s="22">
        <f t="shared" si="5"/>
        <v>204067</v>
      </c>
      <c r="AF23" s="22">
        <f t="shared" si="6"/>
        <v>161852</v>
      </c>
      <c r="AG23" s="22">
        <f t="shared" ref="AG23" si="32">AVERAGE(Q23:AB23)</f>
        <v>178678.25</v>
      </c>
      <c r="AH23" s="22">
        <f t="shared" si="7"/>
        <v>26.082470405061414</v>
      </c>
      <c r="AI23" s="23">
        <f t="shared" si="8"/>
        <v>9.4170667106936623</v>
      </c>
      <c r="AJ23" s="23">
        <f t="shared" si="9"/>
        <v>14.209200056526186</v>
      </c>
      <c r="AK23" s="24" t="s">
        <v>147</v>
      </c>
      <c r="AL23" s="22">
        <f t="shared" si="3"/>
        <v>2144139</v>
      </c>
      <c r="AM23" s="22">
        <f t="shared" si="10"/>
        <v>2144.1390000000001</v>
      </c>
      <c r="AN23" s="22">
        <f t="shared" si="11"/>
        <v>178.67825000000002</v>
      </c>
      <c r="AO23" s="34">
        <v>44075</v>
      </c>
      <c r="AP23" s="36">
        <f t="shared" si="26"/>
        <v>49</v>
      </c>
      <c r="AQ23" s="22">
        <f t="shared" si="12"/>
        <v>2882792.2053262508</v>
      </c>
      <c r="AR23" s="22">
        <f>(17909.23+7569.87)*AP23*0.5</f>
        <v>624237.94999999995</v>
      </c>
      <c r="AS23" s="22">
        <f t="shared" si="13"/>
        <v>4033084.6786251883</v>
      </c>
      <c r="AT23" s="22">
        <f>((113936.78-11314.72)/AB23)*1000*AN23*AP23</f>
        <v>4891578.1037437879</v>
      </c>
      <c r="AU23" s="42"/>
    </row>
    <row r="24" spans="1:47" x14ac:dyDescent="0.2">
      <c r="A24" s="17" t="s">
        <v>56</v>
      </c>
      <c r="B24" s="3" t="s">
        <v>57</v>
      </c>
      <c r="C24" s="3" t="s">
        <v>23</v>
      </c>
      <c r="D24" s="18" t="s">
        <v>138</v>
      </c>
      <c r="E24" s="19">
        <v>625.6</v>
      </c>
      <c r="F24" s="19">
        <v>716.4</v>
      </c>
      <c r="G24" s="19">
        <v>743.2</v>
      </c>
      <c r="H24" s="19">
        <v>719</v>
      </c>
      <c r="I24" s="19">
        <v>819.6</v>
      </c>
      <c r="J24" s="19">
        <v>819.2</v>
      </c>
      <c r="K24" s="19">
        <v>802.4</v>
      </c>
      <c r="L24" s="19">
        <v>784.4</v>
      </c>
      <c r="M24" s="19">
        <v>734</v>
      </c>
      <c r="N24" s="19">
        <v>635.20000000000005</v>
      </c>
      <c r="O24" s="19">
        <v>700</v>
      </c>
      <c r="P24" s="20">
        <v>700</v>
      </c>
      <c r="Q24" s="19">
        <f>25751.1+234963.1</f>
        <v>260714.2</v>
      </c>
      <c r="R24" s="19">
        <f>27854.2+252346.9</f>
        <v>280201.09999999998</v>
      </c>
      <c r="S24" s="19">
        <f>29741.6+299784.1</f>
        <v>329525.69999999995</v>
      </c>
      <c r="T24" s="19">
        <f>29289+279077</f>
        <v>308366</v>
      </c>
      <c r="U24" s="19">
        <f>32095.2+320809.9</f>
        <v>352905.10000000003</v>
      </c>
      <c r="V24" s="19">
        <f>32308.5+308121.7</f>
        <v>340430.2</v>
      </c>
      <c r="W24" s="19">
        <f>35660.8+335394.2</f>
        <v>371055</v>
      </c>
      <c r="X24" s="19">
        <f>30645.8+284717.1</f>
        <v>315362.89999999997</v>
      </c>
      <c r="Y24" s="19">
        <f>29096.9+277033.9</f>
        <v>306130.80000000005</v>
      </c>
      <c r="Z24" s="19">
        <f>24701.1+217406.9</f>
        <v>242108</v>
      </c>
      <c r="AA24" s="19">
        <f>25643.7+218977.1</f>
        <v>244620.80000000002</v>
      </c>
      <c r="AB24" s="19">
        <v>253029.19</v>
      </c>
      <c r="AC24" s="22">
        <f t="shared" ref="AC24:AC25" si="33">MAX(E24:P24)</f>
        <v>819.6</v>
      </c>
      <c r="AD24" s="22">
        <f t="shared" ref="AD24:AD25" si="34">AVERAGE(E24:P24)</f>
        <v>733.25</v>
      </c>
      <c r="AE24" s="22">
        <f t="shared" si="5"/>
        <v>371055</v>
      </c>
      <c r="AF24" s="22">
        <f t="shared" si="6"/>
        <v>242108</v>
      </c>
      <c r="AG24" s="22">
        <f t="shared" ref="AG24:AG25" si="35">AVERAGE(Q24:AB24)</f>
        <v>300370.74916666665</v>
      </c>
      <c r="AH24" s="22">
        <f t="shared" si="7"/>
        <v>53.26011532043551</v>
      </c>
      <c r="AI24" s="23">
        <f t="shared" si="8"/>
        <v>19.396945051509796</v>
      </c>
      <c r="AJ24" s="23">
        <f t="shared" si="9"/>
        <v>23.532334965850087</v>
      </c>
      <c r="AK24" s="24" t="s">
        <v>147</v>
      </c>
      <c r="AL24" s="22">
        <f t="shared" si="3"/>
        <v>3604448.9899999998</v>
      </c>
      <c r="AM24" s="22">
        <f t="shared" si="10"/>
        <v>3604.4489899999999</v>
      </c>
      <c r="AN24" s="22">
        <f t="shared" si="11"/>
        <v>300.37074916666666</v>
      </c>
      <c r="AO24" s="34">
        <v>43865</v>
      </c>
      <c r="AP24" s="36">
        <f t="shared" si="26"/>
        <v>55.9</v>
      </c>
      <c r="AQ24" s="22">
        <f t="shared" si="12"/>
        <v>5528598.0270918636</v>
      </c>
      <c r="AR24" s="22">
        <f>(20386.4+8841.44)*AP24*0.5</f>
        <v>816918.12800000014</v>
      </c>
      <c r="AS24" s="22">
        <f t="shared" si="13"/>
        <v>7297343.578355643</v>
      </c>
      <c r="AT24" s="22">
        <f>((143523.75-1654.22-14125.72)/AB24)*1000*AN24*AP24</f>
        <v>8476931.727247484</v>
      </c>
      <c r="AU24" s="42"/>
    </row>
    <row r="25" spans="1:47" x14ac:dyDescent="0.2">
      <c r="A25" s="17" t="s">
        <v>42</v>
      </c>
      <c r="B25" s="3" t="s">
        <v>43</v>
      </c>
      <c r="C25" s="3" t="s">
        <v>44</v>
      </c>
      <c r="D25" s="18" t="s">
        <v>136</v>
      </c>
      <c r="E25" s="19">
        <v>400</v>
      </c>
      <c r="F25" s="19">
        <v>400</v>
      </c>
      <c r="G25" s="19">
        <v>400</v>
      </c>
      <c r="H25" s="19">
        <v>400</v>
      </c>
      <c r="I25" s="20">
        <v>400</v>
      </c>
      <c r="J25" s="20">
        <v>400</v>
      </c>
      <c r="K25" s="20">
        <v>400</v>
      </c>
      <c r="L25" s="19">
        <v>400</v>
      </c>
      <c r="M25" s="19">
        <v>400</v>
      </c>
      <c r="N25" s="19">
        <v>400</v>
      </c>
      <c r="O25" s="19">
        <v>400</v>
      </c>
      <c r="P25" s="20">
        <v>400</v>
      </c>
      <c r="Q25" s="19">
        <f>4452+25101.405+3501.33</f>
        <v>33054.735000000001</v>
      </c>
      <c r="R25" s="19">
        <f>4237.065+21232.155+3069.57</f>
        <v>28538.789999999997</v>
      </c>
      <c r="S25" s="19">
        <f>5075.385+26971.875+3929.94</f>
        <v>35977.200000000004</v>
      </c>
      <c r="T25" s="19">
        <f>2912.175+16530.885+3189.375</f>
        <v>22632.434999999998</v>
      </c>
      <c r="U25" s="19">
        <v>34420</v>
      </c>
      <c r="V25" s="19">
        <f>4822+26999.805+3664.71</f>
        <v>35486.514999999999</v>
      </c>
      <c r="W25" s="19">
        <v>26971</v>
      </c>
      <c r="X25" s="19">
        <f>4579.47+23644.74+3500.385</f>
        <v>31724.595000000001</v>
      </c>
      <c r="Y25" s="19">
        <f>4147.92+22929.48+3946.74</f>
        <v>31024.14</v>
      </c>
      <c r="Z25" s="19">
        <f>4082.61+21502.635+3583.965</f>
        <v>29169.21</v>
      </c>
      <c r="AA25" s="19">
        <f>4293.03+23466.66+3889.935</f>
        <v>31649.625</v>
      </c>
      <c r="AB25" s="19">
        <v>23455.66</v>
      </c>
      <c r="AC25" s="22">
        <f t="shared" si="33"/>
        <v>400</v>
      </c>
      <c r="AD25" s="22">
        <f t="shared" si="34"/>
        <v>400</v>
      </c>
      <c r="AE25" s="22">
        <f t="shared" si="5"/>
        <v>35977.200000000004</v>
      </c>
      <c r="AF25" s="22">
        <f t="shared" si="6"/>
        <v>22632.434999999998</v>
      </c>
      <c r="AG25" s="22">
        <f t="shared" si="35"/>
        <v>30341.992083333331</v>
      </c>
      <c r="AH25" s="22">
        <f t="shared" si="7"/>
        <v>58.963010387525728</v>
      </c>
      <c r="AI25" s="23">
        <f t="shared" si="8"/>
        <v>25.408869207266537</v>
      </c>
      <c r="AJ25" s="23">
        <f t="shared" si="9"/>
        <v>18.572306990225794</v>
      </c>
      <c r="AK25" s="24" t="s">
        <v>147</v>
      </c>
      <c r="AL25" s="22">
        <f t="shared" si="3"/>
        <v>364103.90499999997</v>
      </c>
      <c r="AM25" s="22">
        <f t="shared" si="10"/>
        <v>364.103905</v>
      </c>
      <c r="AN25" s="22">
        <f t="shared" si="11"/>
        <v>30.341992083333334</v>
      </c>
      <c r="AO25" s="34">
        <v>43903</v>
      </c>
      <c r="AP25" s="36">
        <f t="shared" si="26"/>
        <v>54.6</v>
      </c>
      <c r="AQ25" s="22">
        <f t="shared" si="12"/>
        <v>545484.35887320375</v>
      </c>
      <c r="AR25" s="22">
        <f>5581.64*AP25*0.5</f>
        <v>152378.77200000003</v>
      </c>
      <c r="AS25" s="22">
        <f t="shared" si="13"/>
        <v>802542.60050418426</v>
      </c>
      <c r="AT25" s="22">
        <f>((23237.66-1891.41)/AB25)*1000*AN25*AP25</f>
        <v>1507685.1842405391</v>
      </c>
      <c r="AU25" s="42"/>
    </row>
    <row r="26" spans="1:47" x14ac:dyDescent="0.2">
      <c r="A26" s="17" t="s">
        <v>58</v>
      </c>
      <c r="B26" s="3" t="s">
        <v>124</v>
      </c>
      <c r="C26" s="3" t="s">
        <v>44</v>
      </c>
      <c r="D26" s="18" t="s">
        <v>136</v>
      </c>
      <c r="E26" s="19">
        <v>220</v>
      </c>
      <c r="F26" s="19">
        <v>220</v>
      </c>
      <c r="G26" s="19">
        <v>220</v>
      </c>
      <c r="H26" s="19">
        <v>220</v>
      </c>
      <c r="I26" s="19">
        <v>220</v>
      </c>
      <c r="J26" s="19">
        <v>220</v>
      </c>
      <c r="K26" s="19">
        <v>220</v>
      </c>
      <c r="L26" s="19">
        <v>220</v>
      </c>
      <c r="M26" s="19">
        <v>220</v>
      </c>
      <c r="N26" s="19">
        <v>220</v>
      </c>
      <c r="O26" s="19">
        <v>220</v>
      </c>
      <c r="P26" s="19">
        <v>220</v>
      </c>
      <c r="Q26" s="19">
        <f>2960.874+13454.784+2496.501</f>
        <v>18912.159</v>
      </c>
      <c r="R26" s="19">
        <f>2391.921+10727.766+2152.017</f>
        <v>15271.704</v>
      </c>
      <c r="S26" s="19">
        <f>3628.422+15224.517+2461.914</f>
        <v>21314.852999999999</v>
      </c>
      <c r="T26" s="19">
        <f>1547.721+7889.049+2157.309</f>
        <v>11594.079000000002</v>
      </c>
      <c r="U26" s="19">
        <f>2267.118+10520.685+2012.031</f>
        <v>14799.833999999999</v>
      </c>
      <c r="V26" s="19">
        <f>2671.767+14560.875+2288.538</f>
        <v>19521.18</v>
      </c>
      <c r="W26" s="19">
        <f>2633.715+12866.49+1858.5</f>
        <v>17358.705000000002</v>
      </c>
      <c r="X26" s="19">
        <f>2130.03+10845.009+1899.45</f>
        <v>14874.489000000001</v>
      </c>
      <c r="Y26" s="19">
        <f>1963.962+9456.615+1980.909</f>
        <v>13401.485999999999</v>
      </c>
      <c r="Z26" s="19">
        <f>1552.761+7647.255+1974.168</f>
        <v>11174.183999999999</v>
      </c>
      <c r="AA26" s="19">
        <f>1702.512+8311.716+1974.483</f>
        <v>11988.711000000001</v>
      </c>
      <c r="AB26" s="19">
        <f>1702.512+8311.716+1974.483</f>
        <v>11988.711000000001</v>
      </c>
      <c r="AC26" s="22">
        <f t="shared" ref="AC26" si="36">MAX(E26:P26)</f>
        <v>220</v>
      </c>
      <c r="AD26" s="22">
        <f t="shared" ref="AD26" si="37">AVERAGE(E26:P26)</f>
        <v>220</v>
      </c>
      <c r="AE26" s="22">
        <f t="shared" si="5"/>
        <v>21314.852999999999</v>
      </c>
      <c r="AF26" s="22">
        <f>MIN(Q26:AA26)</f>
        <v>11174.183999999999</v>
      </c>
      <c r="AG26" s="22">
        <f t="shared" ref="AG26" si="38">AVERAGE(Q26:AB26)</f>
        <v>15183.341250000005</v>
      </c>
      <c r="AH26" s="22">
        <f t="shared" si="7"/>
        <v>90.750868251319289</v>
      </c>
      <c r="AI26" s="23">
        <f t="shared" si="8"/>
        <v>26.40497360882279</v>
      </c>
      <c r="AJ26" s="23">
        <f t="shared" si="9"/>
        <v>40.383151830958106</v>
      </c>
      <c r="AK26" s="24" t="s">
        <v>147</v>
      </c>
      <c r="AL26" s="22">
        <f t="shared" si="3"/>
        <v>182200.09500000006</v>
      </c>
      <c r="AM26" s="22">
        <f t="shared" si="10"/>
        <v>182.20009500000006</v>
      </c>
      <c r="AN26" s="22">
        <f t="shared" si="11"/>
        <v>15.183341250000005</v>
      </c>
      <c r="AO26" s="34">
        <v>43891</v>
      </c>
      <c r="AP26" s="36">
        <f t="shared" si="26"/>
        <v>55</v>
      </c>
      <c r="AQ26" s="22">
        <f t="shared" si="12"/>
        <v>274963.85711746884</v>
      </c>
      <c r="AR26" s="22">
        <f>2367.2*AP26*0.5</f>
        <v>65097.999999999993</v>
      </c>
      <c r="AS26" s="22">
        <f t="shared" si="13"/>
        <v>391071.13568508916</v>
      </c>
      <c r="AT26" s="22">
        <f>((10184.04-789.46)/AB26)*1000*AN26*AP26</f>
        <v>654387.38762018527</v>
      </c>
      <c r="AU26" s="42"/>
    </row>
    <row r="27" spans="1:47" x14ac:dyDescent="0.2">
      <c r="A27" s="17" t="s">
        <v>59</v>
      </c>
      <c r="B27" s="3" t="s">
        <v>60</v>
      </c>
      <c r="C27" s="3" t="s">
        <v>61</v>
      </c>
      <c r="D27" s="18" t="s">
        <v>136</v>
      </c>
      <c r="E27" s="19">
        <v>70</v>
      </c>
      <c r="F27" s="19">
        <v>70</v>
      </c>
      <c r="G27" s="19">
        <v>70</v>
      </c>
      <c r="H27" s="19">
        <v>70</v>
      </c>
      <c r="I27" s="19">
        <v>70</v>
      </c>
      <c r="J27" s="19">
        <f>70</f>
        <v>70</v>
      </c>
      <c r="K27" s="19">
        <v>71.569000000000003</v>
      </c>
      <c r="L27" s="19">
        <v>70</v>
      </c>
      <c r="M27" s="19">
        <v>70</v>
      </c>
      <c r="N27" s="19">
        <v>70</v>
      </c>
      <c r="O27" s="19">
        <v>70</v>
      </c>
      <c r="P27" s="19">
        <v>70</v>
      </c>
      <c r="Q27" s="19">
        <f>1360.38+6843.72</f>
        <v>8204.1</v>
      </c>
      <c r="R27" s="19">
        <f>1628.815+8633.689</f>
        <v>10262.504000000001</v>
      </c>
      <c r="S27" s="19">
        <f>1538.574+6178.503</f>
        <v>7717.0769999999993</v>
      </c>
      <c r="T27" s="19">
        <f>1585.978+7827.67</f>
        <v>9413.648000000001</v>
      </c>
      <c r="U27" s="19">
        <f>726.823+4574.853</f>
        <v>5301.6760000000004</v>
      </c>
      <c r="V27" s="19">
        <f>1575.851+8344.787</f>
        <v>9920.6380000000008</v>
      </c>
      <c r="W27" s="19">
        <f>1650.897+8746.554</f>
        <v>10397.451000000001</v>
      </c>
      <c r="X27" s="19">
        <f>1743.287+9526.538</f>
        <v>11269.825000000001</v>
      </c>
      <c r="Y27" s="19">
        <f>1361.06+8029.161</f>
        <v>9390.2209999999995</v>
      </c>
      <c r="Z27" s="19">
        <f>1220.315+6789.903</f>
        <v>8010.2180000000008</v>
      </c>
      <c r="AA27" s="19">
        <f>1189.885+6462.403</f>
        <v>7652.2880000000005</v>
      </c>
      <c r="AB27" s="19">
        <f>1068.328+6038.242</f>
        <v>7106.57</v>
      </c>
      <c r="AC27" s="22">
        <f t="shared" ref="AC27" si="39">MAX(E27:P27)</f>
        <v>71.569000000000003</v>
      </c>
      <c r="AD27" s="22">
        <f t="shared" ref="AD27" si="40">AVERAGE(E27:P27)</f>
        <v>70.130749999999992</v>
      </c>
      <c r="AE27" s="22">
        <f t="shared" si="5"/>
        <v>11269.825000000001</v>
      </c>
      <c r="AF27" s="22">
        <f t="shared" si="6"/>
        <v>5301.6760000000004</v>
      </c>
      <c r="AG27" s="22">
        <f t="shared" ref="AG27" si="41">AVERAGE(Q27:AB27)</f>
        <v>8720.5180000000018</v>
      </c>
      <c r="AH27" s="22">
        <f t="shared" si="7"/>
        <v>112.57098698600217</v>
      </c>
      <c r="AI27" s="23">
        <f t="shared" si="8"/>
        <v>39.204574774113198</v>
      </c>
      <c r="AJ27" s="23">
        <f t="shared" si="9"/>
        <v>29.233435445004506</v>
      </c>
      <c r="AK27" s="24" t="s">
        <v>148</v>
      </c>
      <c r="AL27" s="22">
        <f t="shared" si="3"/>
        <v>104646.21600000001</v>
      </c>
      <c r="AM27" s="22">
        <f t="shared" si="10"/>
        <v>104.64621600000001</v>
      </c>
      <c r="AN27" s="22">
        <f t="shared" si="11"/>
        <v>8.7205180000000002</v>
      </c>
      <c r="AO27" s="34">
        <v>43905</v>
      </c>
      <c r="AP27" s="36">
        <f t="shared" si="26"/>
        <v>54.533333333333331</v>
      </c>
      <c r="AQ27" s="22">
        <f t="shared" si="12"/>
        <v>156584.90612552399</v>
      </c>
      <c r="AR27" s="22">
        <f>1246.62*AP27*0.5</f>
        <v>33991.171999999999</v>
      </c>
      <c r="AS27" s="22">
        <f t="shared" si="13"/>
        <v>219162.48984435256</v>
      </c>
      <c r="AT27" s="22">
        <f>((4926.98-70.21-396.84)/AB27)*1000*AN27*AP27</f>
        <v>298450.51430980361</v>
      </c>
      <c r="AU27" s="42"/>
    </row>
    <row r="28" spans="1:47" x14ac:dyDescent="0.2">
      <c r="A28" s="17" t="s">
        <v>62</v>
      </c>
      <c r="B28" s="3" t="s">
        <v>63</v>
      </c>
      <c r="C28" s="3" t="s">
        <v>23</v>
      </c>
      <c r="D28" s="18" t="s">
        <v>136</v>
      </c>
      <c r="E28" s="19">
        <v>80</v>
      </c>
      <c r="F28" s="19">
        <v>80</v>
      </c>
      <c r="G28" s="19">
        <v>80</v>
      </c>
      <c r="H28" s="19">
        <v>80</v>
      </c>
      <c r="I28" s="19">
        <v>80</v>
      </c>
      <c r="J28" s="19">
        <v>80</v>
      </c>
      <c r="K28" s="19">
        <v>85.411000000000001</v>
      </c>
      <c r="L28" s="19">
        <v>80</v>
      </c>
      <c r="M28" s="19">
        <v>80</v>
      </c>
      <c r="N28" s="19">
        <v>80</v>
      </c>
      <c r="O28" s="19">
        <v>80</v>
      </c>
      <c r="P28" s="19">
        <v>80</v>
      </c>
      <c r="Q28" s="19">
        <f>2408.34+9589.08</f>
        <v>11997.42</v>
      </c>
      <c r="R28" s="19">
        <f>2487.06+10259.43</f>
        <v>12746.49</v>
      </c>
      <c r="S28" s="19">
        <f>2703.54+10116.75</f>
        <v>12820.29</v>
      </c>
      <c r="T28" s="19">
        <f>1547.34+7678.89</f>
        <v>9226.23</v>
      </c>
      <c r="U28" s="19">
        <f>2391.12+8664.12</f>
        <v>11055.240000000002</v>
      </c>
      <c r="V28" s="19">
        <f>2624.82+10151.19</f>
        <v>12776.01</v>
      </c>
      <c r="W28" s="19">
        <f>2948.396+12100.592</f>
        <v>15048.988000000001</v>
      </c>
      <c r="X28" s="19">
        <f>2306.274+9495.993</f>
        <v>11802.267</v>
      </c>
      <c r="Y28" s="19">
        <f>1884.15+7734.572</f>
        <v>9618.7219999999998</v>
      </c>
      <c r="Z28" s="19">
        <f>1751.212+6966.916</f>
        <v>8718.1280000000006</v>
      </c>
      <c r="AA28" s="19">
        <f>1493+6036</f>
        <v>7529</v>
      </c>
      <c r="AB28" s="19">
        <f>2085.132+8130.336</f>
        <v>10215.468000000001</v>
      </c>
      <c r="AC28" s="22">
        <f t="shared" ref="AC28" si="42">MAX(E28:P28)</f>
        <v>85.411000000000001</v>
      </c>
      <c r="AD28" s="22">
        <f t="shared" ref="AD28" si="43">AVERAGE(E28:P28)</f>
        <v>80.450916666666672</v>
      </c>
      <c r="AE28" s="22">
        <f t="shared" si="5"/>
        <v>15048.988000000001</v>
      </c>
      <c r="AF28" s="22">
        <f t="shared" si="6"/>
        <v>7529</v>
      </c>
      <c r="AG28" s="22">
        <f t="shared" ref="AG28" si="44">AVERAGE(Q28:AB28)</f>
        <v>11129.521083333333</v>
      </c>
      <c r="AH28" s="22">
        <f t="shared" si="7"/>
        <v>99.88030282906098</v>
      </c>
      <c r="AI28" s="23">
        <f t="shared" si="8"/>
        <v>32.351087314306639</v>
      </c>
      <c r="AJ28" s="23">
        <f t="shared" si="9"/>
        <v>35.216851536730928</v>
      </c>
      <c r="AK28" s="24" t="s">
        <v>148</v>
      </c>
      <c r="AL28" s="22">
        <f t="shared" si="3"/>
        <v>133554.253</v>
      </c>
      <c r="AM28" s="22">
        <f t="shared" si="10"/>
        <v>133.55425299999999</v>
      </c>
      <c r="AN28" s="22">
        <f t="shared" si="11"/>
        <v>11.129521083333332</v>
      </c>
      <c r="AO28" s="34">
        <v>44046</v>
      </c>
      <c r="AP28" s="36">
        <f t="shared" si="26"/>
        <v>49.93333333333333</v>
      </c>
      <c r="AQ28" s="22">
        <f t="shared" si="12"/>
        <v>182983.78385788723</v>
      </c>
      <c r="AR28" s="22">
        <f>1156.6*AP28*0.5</f>
        <v>28876.446666666663</v>
      </c>
      <c r="AS28" s="22">
        <f t="shared" si="13"/>
        <v>243639.26510323695</v>
      </c>
      <c r="AT28" s="22">
        <f>((7902.03-136.2-531.1)/AB28)*1000*AN28*AP28</f>
        <v>393578.25453420822</v>
      </c>
      <c r="AU28" s="42"/>
    </row>
    <row r="29" spans="1:47" x14ac:dyDescent="0.2">
      <c r="A29" s="17" t="s">
        <v>64</v>
      </c>
      <c r="B29" s="3" t="s">
        <v>65</v>
      </c>
      <c r="C29" s="3" t="s">
        <v>37</v>
      </c>
      <c r="D29" s="18" t="s">
        <v>136</v>
      </c>
      <c r="E29" s="20">
        <v>90</v>
      </c>
      <c r="F29" s="19">
        <v>90</v>
      </c>
      <c r="G29" s="19">
        <v>90</v>
      </c>
      <c r="H29" s="19">
        <v>90</v>
      </c>
      <c r="I29" s="19">
        <v>90</v>
      </c>
      <c r="J29" s="19">
        <v>90</v>
      </c>
      <c r="K29" s="19">
        <v>90</v>
      </c>
      <c r="L29" s="19">
        <v>90</v>
      </c>
      <c r="M29" s="19">
        <v>90</v>
      </c>
      <c r="N29" s="19">
        <v>90</v>
      </c>
      <c r="O29" s="19">
        <v>90</v>
      </c>
      <c r="P29" s="19">
        <v>90</v>
      </c>
      <c r="Q29" s="19">
        <v>11498.87</v>
      </c>
      <c r="R29" s="19">
        <f>1814+10209.3</f>
        <v>12023.3</v>
      </c>
      <c r="S29" s="19">
        <f>1708.1+9171.9</f>
        <v>10880</v>
      </c>
      <c r="T29" s="19">
        <f>1800.2+9300.5</f>
        <v>11100.7</v>
      </c>
      <c r="U29" s="19">
        <f>1042.2+6384.6</f>
        <v>7426.8</v>
      </c>
      <c r="V29" s="19">
        <f>1894.8+10312.9</f>
        <v>12207.699999999999</v>
      </c>
      <c r="W29" s="19">
        <f>1897.1+11454.8</f>
        <v>13351.9</v>
      </c>
      <c r="X29" s="19">
        <f>1759.3+10066.1</f>
        <v>11825.4</v>
      </c>
      <c r="Y29" s="19">
        <f>1629.5+9597.8</f>
        <v>11227.3</v>
      </c>
      <c r="Z29" s="19">
        <f>1344.8+7973</f>
        <v>9317.7999999999993</v>
      </c>
      <c r="AA29" s="19">
        <f>1352.3+1054.5+7066.2</f>
        <v>9473</v>
      </c>
      <c r="AB29" s="19">
        <f>1290.9+7626.7</f>
        <v>8917.6</v>
      </c>
      <c r="AC29" s="22">
        <f t="shared" ref="AC29:AC31" si="45">MAX(E29:P29)</f>
        <v>90</v>
      </c>
      <c r="AD29" s="22">
        <f t="shared" ref="AD29:AD31" si="46">AVERAGE(E29:P29)</f>
        <v>90</v>
      </c>
      <c r="AE29" s="22">
        <f t="shared" si="5"/>
        <v>13351.9</v>
      </c>
      <c r="AF29" s="22">
        <f t="shared" si="6"/>
        <v>7426.8</v>
      </c>
      <c r="AG29" s="22">
        <f t="shared" ref="AG29:AG31" si="47">AVERAGE(Q29:AB29)</f>
        <v>10770.864166666666</v>
      </c>
      <c r="AH29" s="22">
        <f t="shared" si="7"/>
        <v>79.779985996660727</v>
      </c>
      <c r="AI29" s="23">
        <f t="shared" si="8"/>
        <v>31.047315377124256</v>
      </c>
      <c r="AJ29" s="23">
        <f t="shared" si="9"/>
        <v>23.96312675932765</v>
      </c>
      <c r="AK29" s="24" t="s">
        <v>148</v>
      </c>
      <c r="AL29" s="22">
        <f t="shared" si="3"/>
        <v>129250.37</v>
      </c>
      <c r="AM29" s="22">
        <f t="shared" si="10"/>
        <v>129.25037</v>
      </c>
      <c r="AN29" s="22">
        <f t="shared" si="11"/>
        <v>10.770864166666668</v>
      </c>
      <c r="AO29" s="34">
        <v>44044</v>
      </c>
      <c r="AP29" s="36">
        <f t="shared" si="26"/>
        <v>50</v>
      </c>
      <c r="AQ29" s="22">
        <f t="shared" si="12"/>
        <v>177323.42949187502</v>
      </c>
      <c r="AR29" s="22">
        <f>(90*11.17)*AP29*0.5</f>
        <v>25132.5</v>
      </c>
      <c r="AS29" s="22">
        <f t="shared" si="13"/>
        <v>232824.31891565627</v>
      </c>
      <c r="AT29" s="22">
        <f>((6012.4-468.54-79.31)/AB29)*1000*AN29*AP29</f>
        <v>330009.90054475603</v>
      </c>
      <c r="AU29" s="42"/>
    </row>
    <row r="30" spans="1:47" x14ac:dyDescent="0.2">
      <c r="A30" s="17" t="s">
        <v>66</v>
      </c>
      <c r="B30" s="3" t="s">
        <v>67</v>
      </c>
      <c r="C30" s="3" t="s">
        <v>23</v>
      </c>
      <c r="D30" s="18" t="s">
        <v>136</v>
      </c>
      <c r="E30" s="19">
        <v>83.671999999999997</v>
      </c>
      <c r="F30" s="19">
        <v>96.792000000000002</v>
      </c>
      <c r="G30" s="19">
        <v>80</v>
      </c>
      <c r="H30" s="19">
        <v>80</v>
      </c>
      <c r="I30" s="19">
        <v>80</v>
      </c>
      <c r="J30" s="19">
        <v>91.02</v>
      </c>
      <c r="K30" s="19">
        <v>94.004000000000005</v>
      </c>
      <c r="L30" s="19">
        <v>90</v>
      </c>
      <c r="M30" s="19">
        <v>80</v>
      </c>
      <c r="N30" s="19">
        <v>80</v>
      </c>
      <c r="O30" s="19">
        <v>80</v>
      </c>
      <c r="P30" s="19">
        <v>80</v>
      </c>
      <c r="Q30" s="19">
        <f>2373.375+12880.912</f>
        <v>15254.287</v>
      </c>
      <c r="R30" s="19">
        <f>2842.021+13370.903</f>
        <v>16212.924000000001</v>
      </c>
      <c r="S30" s="19">
        <f>2095.534+11453.481</f>
        <v>13549.014999999999</v>
      </c>
      <c r="T30" s="19">
        <f>1347.178+8135.252</f>
        <v>9482.43</v>
      </c>
      <c r="U30" s="19">
        <f>1273.853+8593.017</f>
        <v>9866.869999999999</v>
      </c>
      <c r="V30" s="19">
        <f>1925.278+11798.824</f>
        <v>13724.102000000001</v>
      </c>
      <c r="W30" s="19">
        <f>2675.832+13943.435</f>
        <v>16619.267</v>
      </c>
      <c r="X30" s="19">
        <v>12000</v>
      </c>
      <c r="Y30" s="19">
        <f>1641.066+9174.799</f>
        <v>10815.865000000002</v>
      </c>
      <c r="Z30" s="19">
        <f>1607.929+7635.462</f>
        <v>9243.3909999999996</v>
      </c>
      <c r="AA30" s="19">
        <f>1213.928+6602.197</f>
        <v>7816.125</v>
      </c>
      <c r="AB30" s="19">
        <f>1502.035+8754.779</f>
        <v>10256.814</v>
      </c>
      <c r="AC30" s="22">
        <f t="shared" si="45"/>
        <v>96.792000000000002</v>
      </c>
      <c r="AD30" s="22">
        <f t="shared" si="46"/>
        <v>84.623999999999995</v>
      </c>
      <c r="AE30" s="22">
        <f t="shared" si="5"/>
        <v>16619.267</v>
      </c>
      <c r="AF30" s="22">
        <f t="shared" si="6"/>
        <v>7816.125</v>
      </c>
      <c r="AG30" s="22">
        <f t="shared" si="47"/>
        <v>12070.090833333335</v>
      </c>
      <c r="AH30" s="22">
        <f t="shared" si="7"/>
        <v>112.62795822738249</v>
      </c>
      <c r="AI30" s="23">
        <f t="shared" si="8"/>
        <v>35.243859321964514</v>
      </c>
      <c r="AJ30" s="23">
        <f t="shared" si="9"/>
        <v>37.689659750558327</v>
      </c>
      <c r="AK30" s="24" t="s">
        <v>148</v>
      </c>
      <c r="AL30" s="22">
        <f t="shared" si="3"/>
        <v>144841.09000000003</v>
      </c>
      <c r="AM30" s="22">
        <f t="shared" si="10"/>
        <v>144.84109000000004</v>
      </c>
      <c r="AN30" s="22">
        <f t="shared" si="11"/>
        <v>12.070090833333337</v>
      </c>
      <c r="AO30" s="34">
        <v>43893</v>
      </c>
      <c r="AP30" s="36">
        <f t="shared" si="26"/>
        <v>54.93333333333333</v>
      </c>
      <c r="AQ30" s="22">
        <f t="shared" si="12"/>
        <v>218319.26463918007</v>
      </c>
      <c r="AR30" s="22">
        <f>1023.26*AP30*0.5</f>
        <v>28105.541333333331</v>
      </c>
      <c r="AS30" s="22">
        <f t="shared" si="13"/>
        <v>283388.52686839039</v>
      </c>
      <c r="AT30" s="22">
        <f>((5544.35-79.32-431.39)/AB30)*1000*AN30*AP30</f>
        <v>325398.96194130211</v>
      </c>
      <c r="AU30" s="42"/>
    </row>
    <row r="31" spans="1:47" x14ac:dyDescent="0.2">
      <c r="A31" s="17" t="s">
        <v>68</v>
      </c>
      <c r="B31" s="3" t="s">
        <v>69</v>
      </c>
      <c r="C31" s="3" t="s">
        <v>23</v>
      </c>
      <c r="D31" s="18" t="s">
        <v>136</v>
      </c>
      <c r="E31" s="19">
        <v>71.388999999999996</v>
      </c>
      <c r="F31" s="19">
        <v>81.867999999999995</v>
      </c>
      <c r="G31" s="19">
        <v>78.375</v>
      </c>
      <c r="H31" s="19">
        <v>76.456000000000003</v>
      </c>
      <c r="I31" s="19">
        <v>60</v>
      </c>
      <c r="J31" s="19">
        <v>64.352999999999994</v>
      </c>
      <c r="K31" s="19">
        <v>86.641000000000005</v>
      </c>
      <c r="L31" s="19">
        <v>84.23</v>
      </c>
      <c r="M31" s="19">
        <v>70</v>
      </c>
      <c r="N31" s="19">
        <v>60</v>
      </c>
      <c r="O31" s="19">
        <v>60</v>
      </c>
      <c r="P31" s="19">
        <v>60</v>
      </c>
      <c r="Q31" s="19">
        <f>2701.805+12314.944</f>
        <v>15016.749</v>
      </c>
      <c r="R31" s="19">
        <f>2880.414+12587.217</f>
        <v>15467.631000000001</v>
      </c>
      <c r="S31" s="19">
        <f>2498.941+11178.805</f>
        <v>13677.745999999999</v>
      </c>
      <c r="T31" s="19">
        <f>2543.049+12445.718</f>
        <v>14988.767</v>
      </c>
      <c r="U31" s="19">
        <f>1121.538+8140.767</f>
        <v>9262.3050000000003</v>
      </c>
      <c r="V31" s="19">
        <f>2163.496+11167.588</f>
        <v>13331.083999999999</v>
      </c>
      <c r="W31" s="19">
        <f>3175.564+15599.696</f>
        <v>18775.259999999998</v>
      </c>
      <c r="X31" s="19">
        <f>2752.998+13421.268</f>
        <v>16174.266</v>
      </c>
      <c r="Y31" s="19">
        <f>2306+11219</f>
        <v>13525</v>
      </c>
      <c r="Z31" s="19">
        <f>1855.725+10020.81</f>
        <v>11876.535</v>
      </c>
      <c r="AA31" s="19">
        <f>1820.289+9449.598</f>
        <v>11269.887000000001</v>
      </c>
      <c r="AB31" s="19">
        <f>1760.499+9381.037</f>
        <v>11141.536</v>
      </c>
      <c r="AC31" s="22">
        <f t="shared" si="45"/>
        <v>86.641000000000005</v>
      </c>
      <c r="AD31" s="22">
        <f t="shared" si="46"/>
        <v>71.109333333333339</v>
      </c>
      <c r="AE31" s="22">
        <f t="shared" si="5"/>
        <v>18775.259999999998</v>
      </c>
      <c r="AF31" s="22">
        <f t="shared" si="6"/>
        <v>9262.3050000000003</v>
      </c>
      <c r="AG31" s="22">
        <f t="shared" si="47"/>
        <v>13708.897166666664</v>
      </c>
      <c r="AH31" s="22">
        <f t="shared" si="7"/>
        <v>102.70612984564855</v>
      </c>
      <c r="AI31" s="23">
        <f t="shared" si="8"/>
        <v>32.435812396919879</v>
      </c>
      <c r="AJ31" s="23">
        <f t="shared" si="9"/>
        <v>36.956749851857175</v>
      </c>
      <c r="AK31" s="24" t="s">
        <v>148</v>
      </c>
      <c r="AL31" s="22">
        <f t="shared" si="3"/>
        <v>164506.76599999997</v>
      </c>
      <c r="AM31" s="22">
        <f t="shared" si="10"/>
        <v>164.50676599999997</v>
      </c>
      <c r="AN31" s="22">
        <f t="shared" si="11"/>
        <v>13.708897166666665</v>
      </c>
      <c r="AO31" s="34">
        <v>43758</v>
      </c>
      <c r="AP31" s="36">
        <f t="shared" si="26"/>
        <v>59.366666666666667</v>
      </c>
      <c r="AQ31" s="22">
        <f t="shared" si="12"/>
        <v>267972.82351874775</v>
      </c>
      <c r="AR31" s="22">
        <f>767.65*AP31*0.5</f>
        <v>22786.410833333332</v>
      </c>
      <c r="AS31" s="22">
        <f t="shared" si="13"/>
        <v>334373.1195048932</v>
      </c>
      <c r="AT31" s="22">
        <f>((7345.33-115.04-612.99)/AB31)*1000*AN31*AP31</f>
        <v>483371.38786660199</v>
      </c>
      <c r="AU31" s="42"/>
    </row>
    <row r="32" spans="1:47" x14ac:dyDescent="0.2">
      <c r="A32" s="17" t="s">
        <v>70</v>
      </c>
      <c r="B32" s="3" t="s">
        <v>71</v>
      </c>
      <c r="C32" s="3" t="s">
        <v>37</v>
      </c>
      <c r="D32" s="18" t="s">
        <v>136</v>
      </c>
      <c r="E32" s="19">
        <v>200</v>
      </c>
      <c r="F32" s="19">
        <v>200</v>
      </c>
      <c r="G32" s="19">
        <v>200</v>
      </c>
      <c r="H32" s="19">
        <v>200</v>
      </c>
      <c r="I32" s="19">
        <v>200</v>
      </c>
      <c r="J32" s="19">
        <v>200</v>
      </c>
      <c r="K32" s="19">
        <v>200</v>
      </c>
      <c r="L32" s="19">
        <v>200</v>
      </c>
      <c r="M32" s="19">
        <v>200</v>
      </c>
      <c r="N32" s="19">
        <v>200</v>
      </c>
      <c r="O32" s="20">
        <v>200</v>
      </c>
      <c r="P32" s="19">
        <v>200</v>
      </c>
      <c r="Q32" s="19">
        <f>3367.8+20319</f>
        <v>23686.799999999999</v>
      </c>
      <c r="R32" s="19">
        <f>3299.5+16482.2</f>
        <v>19781.7</v>
      </c>
      <c r="S32" s="19">
        <f>3921.4+19437.8</f>
        <v>23359.200000000001</v>
      </c>
      <c r="T32" s="19">
        <f>3016+17848.6</f>
        <v>20864.599999999999</v>
      </c>
      <c r="U32" s="19">
        <f>3104.6+18007.2</f>
        <v>21111.8</v>
      </c>
      <c r="V32" s="19">
        <f>4452.3+22582.7</f>
        <v>27035</v>
      </c>
      <c r="W32" s="19">
        <f>3679.6+18792</f>
        <v>22471.599999999999</v>
      </c>
      <c r="X32" s="19">
        <f>2837.4+16810.7</f>
        <v>19648.100000000002</v>
      </c>
      <c r="Y32" s="19">
        <v>19906.5</v>
      </c>
      <c r="Z32" s="19">
        <f>2733.3+1838.3+14809.4</f>
        <v>19381</v>
      </c>
      <c r="AA32" s="19">
        <v>19751.900000000001</v>
      </c>
      <c r="AB32" s="19">
        <f>3050.5+17988.6</f>
        <v>21039.1</v>
      </c>
      <c r="AC32" s="22">
        <f t="shared" ref="AC32" si="48">MAX(E32:P32)</f>
        <v>200</v>
      </c>
      <c r="AD32" s="22">
        <f t="shared" ref="AD32" si="49">AVERAGE(E32:P32)</f>
        <v>200</v>
      </c>
      <c r="AE32" s="22">
        <f t="shared" si="5"/>
        <v>27035</v>
      </c>
      <c r="AF32" s="22">
        <f t="shared" si="6"/>
        <v>19381</v>
      </c>
      <c r="AG32" s="22">
        <f t="shared" ref="AG32" si="50">AVERAGE(Q32:AB32)</f>
        <v>21503.108333333334</v>
      </c>
      <c r="AH32" s="22">
        <f t="shared" si="7"/>
        <v>39.492286259738918</v>
      </c>
      <c r="AI32" s="23">
        <f t="shared" si="8"/>
        <v>9.8688445430176195</v>
      </c>
      <c r="AJ32" s="23">
        <f t="shared" si="9"/>
        <v>25.726009379264159</v>
      </c>
      <c r="AK32" s="24" t="s">
        <v>148</v>
      </c>
      <c r="AL32" s="22">
        <f t="shared" si="3"/>
        <v>258037.3</v>
      </c>
      <c r="AM32" s="22">
        <f t="shared" si="10"/>
        <v>258.03730000000002</v>
      </c>
      <c r="AN32" s="22">
        <f t="shared" si="11"/>
        <v>21.503108333333333</v>
      </c>
      <c r="AO32" s="34">
        <v>43952</v>
      </c>
      <c r="AP32" s="36">
        <f t="shared" si="26"/>
        <v>53</v>
      </c>
      <c r="AQ32" s="22">
        <f t="shared" si="12"/>
        <v>375251.71116487501</v>
      </c>
      <c r="AR32" s="22">
        <f>2234*AP32*0.5</f>
        <v>59201</v>
      </c>
      <c r="AS32" s="22">
        <f t="shared" si="13"/>
        <v>499620.61783960625</v>
      </c>
      <c r="AT32" s="22">
        <f>((14019.84-1109.79-188.19)/AB32)*1000*AN32*AP32</f>
        <v>689129.06400081271</v>
      </c>
      <c r="AU32" s="42"/>
    </row>
    <row r="33" spans="1:47" x14ac:dyDescent="0.2">
      <c r="A33" s="17" t="s">
        <v>72</v>
      </c>
      <c r="B33" s="3" t="s">
        <v>74</v>
      </c>
      <c r="C33" s="3" t="s">
        <v>73</v>
      </c>
      <c r="D33" s="18" t="s">
        <v>136</v>
      </c>
      <c r="E33" s="19">
        <v>160</v>
      </c>
      <c r="F33" s="19">
        <v>160</v>
      </c>
      <c r="G33" s="19">
        <v>160</v>
      </c>
      <c r="H33" s="19">
        <v>160</v>
      </c>
      <c r="I33" s="19">
        <v>160</v>
      </c>
      <c r="J33" s="19">
        <v>160</v>
      </c>
      <c r="K33" s="19">
        <v>160</v>
      </c>
      <c r="L33" s="19">
        <v>160</v>
      </c>
      <c r="M33" s="19">
        <v>160</v>
      </c>
      <c r="N33" s="20">
        <v>160</v>
      </c>
      <c r="O33" s="20">
        <v>160</v>
      </c>
      <c r="P33" s="19">
        <v>160</v>
      </c>
      <c r="Q33" s="19">
        <f>2388.23+15537.36</f>
        <v>17925.59</v>
      </c>
      <c r="R33" s="19">
        <f>3897.87+20648.01</f>
        <v>24545.879999999997</v>
      </c>
      <c r="S33" s="19">
        <f>4365.27+27679.92</f>
        <v>32045.19</v>
      </c>
      <c r="T33" s="19">
        <f>4628.49+27575.37</f>
        <v>32203.86</v>
      </c>
      <c r="U33" s="19">
        <f>2121.75+13697.28</f>
        <v>15819.03</v>
      </c>
      <c r="V33" s="20">
        <f>4801.92+25269.12</f>
        <v>30071.040000000001</v>
      </c>
      <c r="W33" s="19">
        <f>5434.14+28674.99</f>
        <v>34109.130000000005</v>
      </c>
      <c r="X33" s="19">
        <f>4776.09+26865.66</f>
        <v>31641.75</v>
      </c>
      <c r="Y33" s="19">
        <f>4092.21+21178.14</f>
        <v>25270.35</v>
      </c>
      <c r="Z33" s="19">
        <v>17661.57</v>
      </c>
      <c r="AA33" s="19">
        <v>17680.02</v>
      </c>
      <c r="AB33" s="19">
        <f>2805.63+19005.96</f>
        <v>21811.59</v>
      </c>
      <c r="AC33" s="22">
        <f t="shared" ref="AC33:AC35" si="51">MAX(E33:P33)</f>
        <v>160</v>
      </c>
      <c r="AD33" s="22">
        <f t="shared" ref="AD33:AD35" si="52">AVERAGE(E33:P33)</f>
        <v>160</v>
      </c>
      <c r="AE33" s="22">
        <f t="shared" si="5"/>
        <v>34109.130000000005</v>
      </c>
      <c r="AF33" s="22">
        <f t="shared" si="6"/>
        <v>15819.03</v>
      </c>
      <c r="AG33" s="22">
        <f t="shared" ref="AG33:AG35" si="53">AVERAGE(Q33:AB33)</f>
        <v>25065.416666666672</v>
      </c>
      <c r="AH33" s="22">
        <f t="shared" si="7"/>
        <v>115.62086929476716</v>
      </c>
      <c r="AI33" s="23">
        <f t="shared" si="8"/>
        <v>36.88902039662883</v>
      </c>
      <c r="AJ33" s="23">
        <f t="shared" si="9"/>
        <v>36.080442841232099</v>
      </c>
      <c r="AK33" s="24" t="s">
        <v>148</v>
      </c>
      <c r="AL33" s="22">
        <f t="shared" si="3"/>
        <v>300785.00000000006</v>
      </c>
      <c r="AM33" s="22">
        <f t="shared" si="10"/>
        <v>300.78500000000008</v>
      </c>
      <c r="AN33" s="22">
        <f t="shared" si="11"/>
        <v>25.065416666666675</v>
      </c>
      <c r="AO33" s="34">
        <v>44100</v>
      </c>
      <c r="AP33" s="36">
        <f t="shared" si="26"/>
        <v>48.166666666666664</v>
      </c>
      <c r="AQ33" s="22">
        <f t="shared" si="12"/>
        <v>397527.41950312519</v>
      </c>
      <c r="AR33" s="22">
        <f>2127.6*AP33*0.5</f>
        <v>51239.7</v>
      </c>
      <c r="AS33" s="22">
        <f t="shared" si="13"/>
        <v>516082.18742859393</v>
      </c>
      <c r="AT33" s="22">
        <f>((14330.7-184.24-1248.08)/AB33)*1000*AN33*AP33</f>
        <v>713952.57252547098</v>
      </c>
      <c r="AU33" s="42"/>
    </row>
    <row r="34" spans="1:47" x14ac:dyDescent="0.2">
      <c r="A34" s="17" t="s">
        <v>75</v>
      </c>
      <c r="B34" s="3" t="s">
        <v>76</v>
      </c>
      <c r="C34" s="3" t="s">
        <v>37</v>
      </c>
      <c r="D34" s="18" t="s">
        <v>136</v>
      </c>
      <c r="E34" s="19">
        <v>110</v>
      </c>
      <c r="F34" s="19">
        <v>118.1</v>
      </c>
      <c r="G34" s="19">
        <v>110</v>
      </c>
      <c r="H34" s="20">
        <v>110</v>
      </c>
      <c r="I34" s="20">
        <v>110</v>
      </c>
      <c r="J34" s="20">
        <v>110</v>
      </c>
      <c r="K34" s="20">
        <v>110</v>
      </c>
      <c r="L34" s="20">
        <v>110</v>
      </c>
      <c r="M34" s="19">
        <v>110</v>
      </c>
      <c r="N34" s="19">
        <v>110</v>
      </c>
      <c r="O34" s="19">
        <v>110</v>
      </c>
      <c r="P34" s="19">
        <v>110</v>
      </c>
      <c r="Q34" s="19">
        <f>3092.3+13033.4</f>
        <v>16125.7</v>
      </c>
      <c r="R34" s="19">
        <f>3984.3+16893.8</f>
        <v>20878.099999999999</v>
      </c>
      <c r="S34" s="19">
        <f>3033.6+14586.8</f>
        <v>17620.399999999998</v>
      </c>
      <c r="T34" s="19">
        <v>22470.23</v>
      </c>
      <c r="U34" s="19">
        <f>2140.8+11176.8</f>
        <v>13317.599999999999</v>
      </c>
      <c r="V34" s="19">
        <f>3401.7+14681.7</f>
        <v>18083.400000000001</v>
      </c>
      <c r="W34" s="19">
        <f>3990.9+19405.7</f>
        <v>23396.600000000002</v>
      </c>
      <c r="X34" s="19">
        <v>22527</v>
      </c>
      <c r="Y34" s="19">
        <f>3806.4+20508.7</f>
        <v>24315.100000000002</v>
      </c>
      <c r="Z34" s="19">
        <f>2545.2+13307.9</f>
        <v>15853.099999999999</v>
      </c>
      <c r="AA34" s="19">
        <f>2660.5+1700.3+12703.3</f>
        <v>17064.099999999999</v>
      </c>
      <c r="AB34" s="19">
        <f>3007.2+14661.2</f>
        <v>17668.400000000001</v>
      </c>
      <c r="AC34" s="22">
        <f t="shared" si="51"/>
        <v>118.1</v>
      </c>
      <c r="AD34" s="22">
        <f t="shared" si="52"/>
        <v>110.675</v>
      </c>
      <c r="AE34" s="22">
        <f t="shared" si="5"/>
        <v>24315.100000000002</v>
      </c>
      <c r="AF34" s="22">
        <f t="shared" si="6"/>
        <v>13317.599999999999</v>
      </c>
      <c r="AG34" s="22">
        <f t="shared" si="53"/>
        <v>19109.977500000001</v>
      </c>
      <c r="AH34" s="22">
        <f t="shared" si="7"/>
        <v>82.578692857571966</v>
      </c>
      <c r="AI34" s="23">
        <f t="shared" si="8"/>
        <v>30.310749973410502</v>
      </c>
      <c r="AJ34" s="23">
        <f t="shared" si="9"/>
        <v>27.237721760792237</v>
      </c>
      <c r="AK34" s="24" t="s">
        <v>148</v>
      </c>
      <c r="AL34" s="22">
        <f t="shared" si="3"/>
        <v>229319.73</v>
      </c>
      <c r="AM34" s="22">
        <f t="shared" si="10"/>
        <v>229.31973000000002</v>
      </c>
      <c r="AN34" s="22">
        <f t="shared" si="11"/>
        <v>19.109977500000003</v>
      </c>
      <c r="AO34" s="34">
        <v>44030</v>
      </c>
      <c r="AP34" s="36">
        <f t="shared" si="26"/>
        <v>50.43333333333333</v>
      </c>
      <c r="AQ34" s="22">
        <f t="shared" si="12"/>
        <v>317338.97733154125</v>
      </c>
      <c r="AR34" s="22">
        <f>1228.7*AP34*0.5</f>
        <v>30983.718333333334</v>
      </c>
      <c r="AS34" s="22">
        <f t="shared" si="13"/>
        <v>400571.10001460573</v>
      </c>
      <c r="AT34" s="22">
        <f>((11071.13-900.72-184.75)/AB34)*1000*AN34*AP34</f>
        <v>544700.03221753612</v>
      </c>
      <c r="AU34" s="42"/>
    </row>
    <row r="35" spans="1:47" x14ac:dyDescent="0.2">
      <c r="A35" s="17" t="s">
        <v>77</v>
      </c>
      <c r="B35" s="3" t="s">
        <v>78</v>
      </c>
      <c r="C35" s="3" t="s">
        <v>37</v>
      </c>
      <c r="D35" s="18" t="s">
        <v>136</v>
      </c>
      <c r="E35" s="19">
        <v>216.7</v>
      </c>
      <c r="F35" s="20">
        <v>200</v>
      </c>
      <c r="G35" s="19">
        <v>203.1</v>
      </c>
      <c r="H35" s="19">
        <v>223.4</v>
      </c>
      <c r="I35" s="19">
        <v>200.4</v>
      </c>
      <c r="J35" s="19">
        <v>195.9</v>
      </c>
      <c r="K35" s="19">
        <v>214.5</v>
      </c>
      <c r="L35" s="19">
        <v>199.9</v>
      </c>
      <c r="M35" s="19">
        <v>189.2</v>
      </c>
      <c r="N35" s="19">
        <v>180</v>
      </c>
      <c r="O35" s="19">
        <f>180</f>
        <v>180</v>
      </c>
      <c r="P35" s="19">
        <v>180</v>
      </c>
      <c r="Q35" s="19">
        <f>8716.6+51388.1</f>
        <v>60104.7</v>
      </c>
      <c r="R35" s="19">
        <v>58154.9</v>
      </c>
      <c r="S35" s="19">
        <v>50851.8</v>
      </c>
      <c r="T35" s="19">
        <f>8560.1+47750</f>
        <v>56310.1</v>
      </c>
      <c r="U35" s="19">
        <f>4898.2+34744.5</f>
        <v>39642.699999999997</v>
      </c>
      <c r="V35" s="19">
        <f>8085.9+44559.3</f>
        <v>52645.200000000004</v>
      </c>
      <c r="W35" s="19">
        <f>8883.4+50891.3</f>
        <v>59774.700000000004</v>
      </c>
      <c r="X35" s="19">
        <f>8437+47183.1</f>
        <v>55620.1</v>
      </c>
      <c r="Y35" s="19">
        <f>7796.3+46174.1</f>
        <v>53970.400000000001</v>
      </c>
      <c r="Z35" s="19">
        <f>7000.4+39263.2</f>
        <v>46263.6</v>
      </c>
      <c r="AA35" s="19">
        <f>7901.4+5390.5+40422.9</f>
        <v>53714.8</v>
      </c>
      <c r="AB35" s="19">
        <f>6612.4+39172.9</f>
        <v>45785.3</v>
      </c>
      <c r="AC35" s="22">
        <f t="shared" si="51"/>
        <v>223.4</v>
      </c>
      <c r="AD35" s="22">
        <f t="shared" si="52"/>
        <v>198.5916666666667</v>
      </c>
      <c r="AE35" s="22">
        <f t="shared" si="5"/>
        <v>60104.7</v>
      </c>
      <c r="AF35" s="22">
        <f t="shared" si="6"/>
        <v>39642.699999999997</v>
      </c>
      <c r="AG35" s="22">
        <f t="shared" si="53"/>
        <v>52736.525000000016</v>
      </c>
      <c r="AH35" s="22">
        <f t="shared" si="7"/>
        <v>51.616060460059487</v>
      </c>
      <c r="AI35" s="23">
        <f t="shared" si="8"/>
        <v>24.828759574128206</v>
      </c>
      <c r="AJ35" s="23">
        <f t="shared" si="9"/>
        <v>13.971673332666457</v>
      </c>
      <c r="AK35" s="24" t="s">
        <v>147</v>
      </c>
      <c r="AL35" s="22">
        <f t="shared" si="3"/>
        <v>632838.30000000016</v>
      </c>
      <c r="AM35" s="22">
        <f t="shared" si="10"/>
        <v>632.83830000000012</v>
      </c>
      <c r="AN35" s="22">
        <f t="shared" si="11"/>
        <v>52.736525000000007</v>
      </c>
      <c r="AO35" s="34">
        <v>43770</v>
      </c>
      <c r="AP35" s="36">
        <f t="shared" si="26"/>
        <v>59</v>
      </c>
      <c r="AQ35" s="22">
        <f t="shared" si="12"/>
        <v>1024493.2223433752</v>
      </c>
      <c r="AR35" s="22">
        <f>2010.6*AP35*0.5</f>
        <v>59312.7</v>
      </c>
      <c r="AS35" s="22">
        <f t="shared" si="13"/>
        <v>1246376.8106948812</v>
      </c>
      <c r="AT35" s="22">
        <f>((27327.42-2406.67-406.23)/AB35)*1000*AN35*AP35</f>
        <v>1665945.7339743762</v>
      </c>
      <c r="AU35" s="42"/>
    </row>
    <row r="36" spans="1:47" x14ac:dyDescent="0.2">
      <c r="A36" s="17" t="s">
        <v>79</v>
      </c>
      <c r="B36" s="3" t="s">
        <v>80</v>
      </c>
      <c r="C36" s="3" t="s">
        <v>37</v>
      </c>
      <c r="D36" s="18" t="s">
        <v>136</v>
      </c>
      <c r="E36" s="19">
        <v>150</v>
      </c>
      <c r="F36" s="19">
        <v>150</v>
      </c>
      <c r="G36" s="19">
        <v>150</v>
      </c>
      <c r="H36" s="19">
        <v>150</v>
      </c>
      <c r="I36" s="19">
        <v>150</v>
      </c>
      <c r="J36" s="19">
        <v>150</v>
      </c>
      <c r="K36" s="19">
        <v>150</v>
      </c>
      <c r="L36" s="19">
        <v>150</v>
      </c>
      <c r="M36" s="19">
        <v>150</v>
      </c>
      <c r="N36" s="19">
        <v>150</v>
      </c>
      <c r="O36" s="19">
        <v>150</v>
      </c>
      <c r="P36" s="19">
        <v>150</v>
      </c>
      <c r="Q36" s="19">
        <f>4069.1+22217.4</f>
        <v>26286.5</v>
      </c>
      <c r="R36" s="19">
        <f>4346.8+22700.4</f>
        <v>27047.200000000001</v>
      </c>
      <c r="S36" s="19">
        <f>4671.7+22945.5</f>
        <v>27617.200000000001</v>
      </c>
      <c r="T36" s="19">
        <f>3046.5+16397.2</f>
        <v>19443.7</v>
      </c>
      <c r="U36" s="19">
        <f>4898.8+23539.3</f>
        <v>28438.1</v>
      </c>
      <c r="V36" s="19">
        <f>4147.7+22492.8</f>
        <v>26640.5</v>
      </c>
      <c r="W36" s="19">
        <f>5056.2+26594.4</f>
        <v>31650.600000000002</v>
      </c>
      <c r="X36" s="19">
        <f>4351.7+23771.4</f>
        <v>28123.100000000002</v>
      </c>
      <c r="Y36" s="19">
        <f>4020.1+23423.5</f>
        <v>27443.599999999999</v>
      </c>
      <c r="Z36" s="19">
        <f>4367.5+2852.9+20439.5</f>
        <v>27659.9</v>
      </c>
      <c r="AA36" s="19">
        <f>3785.1+21974.8</f>
        <v>25759.899999999998</v>
      </c>
      <c r="AB36" s="19">
        <f>4093.6+22594</f>
        <v>26687.599999999999</v>
      </c>
      <c r="AC36" s="22">
        <f t="shared" ref="AC36" si="54">MAX(E36:P36)</f>
        <v>150</v>
      </c>
      <c r="AD36" s="22">
        <f t="shared" ref="AD36" si="55">AVERAGE(E36:P36)</f>
        <v>150</v>
      </c>
      <c r="AE36" s="22">
        <f t="shared" si="5"/>
        <v>31650.600000000002</v>
      </c>
      <c r="AF36" s="22">
        <f t="shared" si="6"/>
        <v>19443.7</v>
      </c>
      <c r="AG36" s="22">
        <f t="shared" ref="AG36" si="56">AVERAGE(Q36:AB36)</f>
        <v>26899.825000000001</v>
      </c>
      <c r="AH36" s="22">
        <f t="shared" si="7"/>
        <v>62.780746462864577</v>
      </c>
      <c r="AI36" s="23">
        <f t="shared" si="8"/>
        <v>27.718117125297283</v>
      </c>
      <c r="AJ36" s="23">
        <f t="shared" si="9"/>
        <v>17.660988500854565</v>
      </c>
      <c r="AK36" s="24" t="s">
        <v>148</v>
      </c>
      <c r="AL36" s="22">
        <f t="shared" si="3"/>
        <v>322797.90000000002</v>
      </c>
      <c r="AM36" s="22">
        <f t="shared" si="10"/>
        <v>322.79790000000003</v>
      </c>
      <c r="AN36" s="22">
        <f t="shared" si="11"/>
        <v>26.899825000000003</v>
      </c>
      <c r="AO36" s="34">
        <v>43862</v>
      </c>
      <c r="AP36" s="36">
        <f t="shared" si="26"/>
        <v>56</v>
      </c>
      <c r="AQ36" s="22">
        <f t="shared" si="12"/>
        <v>496001.56920300005</v>
      </c>
      <c r="AR36" s="22">
        <f>1675.5*AP36*0.5</f>
        <v>46914</v>
      </c>
      <c r="AS36" s="22">
        <f t="shared" si="13"/>
        <v>624352.90458345006</v>
      </c>
      <c r="AT36" s="22">
        <f>((15744.39-1350.07-232.54)/AB36)*1000*AN36*AP36</f>
        <v>799366.24524333409</v>
      </c>
      <c r="AU36" s="42"/>
    </row>
    <row r="37" spans="1:47" x14ac:dyDescent="0.2">
      <c r="A37" s="17" t="s">
        <v>81</v>
      </c>
      <c r="B37" s="3" t="s">
        <v>82</v>
      </c>
      <c r="C37" s="3" t="s">
        <v>55</v>
      </c>
      <c r="D37" s="18" t="s">
        <v>136</v>
      </c>
      <c r="E37" s="19">
        <v>200</v>
      </c>
      <c r="F37" s="19">
        <v>200</v>
      </c>
      <c r="G37" s="20">
        <v>200</v>
      </c>
      <c r="H37" s="19">
        <v>200</v>
      </c>
      <c r="I37" s="19">
        <v>200</v>
      </c>
      <c r="J37" s="19">
        <f>200</f>
        <v>200</v>
      </c>
      <c r="K37" s="19">
        <v>200</v>
      </c>
      <c r="L37" s="19">
        <v>200</v>
      </c>
      <c r="M37" s="19">
        <v>200</v>
      </c>
      <c r="N37" s="19">
        <v>200</v>
      </c>
      <c r="O37" s="20">
        <v>200</v>
      </c>
      <c r="P37" s="19">
        <v>200</v>
      </c>
      <c r="Q37" s="19">
        <f>4346+21650</f>
        <v>25996</v>
      </c>
      <c r="R37" s="19">
        <f>4203+19421</f>
        <v>23624</v>
      </c>
      <c r="S37" s="19">
        <v>26828</v>
      </c>
      <c r="T37" s="19">
        <f>2180+12296</f>
        <v>14476</v>
      </c>
      <c r="U37" s="19">
        <f>4174+20940</f>
        <v>25114</v>
      </c>
      <c r="V37" s="19">
        <f>4732+27081</f>
        <v>31813</v>
      </c>
      <c r="W37" s="19">
        <f>4349+24676</f>
        <v>29025</v>
      </c>
      <c r="X37" s="19">
        <f>3739+20288</f>
        <v>24027</v>
      </c>
      <c r="Y37" s="19">
        <f>2903+16641</f>
        <v>19544</v>
      </c>
      <c r="Z37" s="19">
        <f>3048+16245</f>
        <v>19293</v>
      </c>
      <c r="AA37" s="19">
        <v>19769</v>
      </c>
      <c r="AB37" s="19">
        <f>3488+20344</f>
        <v>23832</v>
      </c>
      <c r="AC37" s="22">
        <f t="shared" ref="AC37:AC38" si="57">MAX(E37:P37)</f>
        <v>200</v>
      </c>
      <c r="AD37" s="22">
        <f t="shared" ref="AD37:AD38" si="58">AVERAGE(E37:P37)</f>
        <v>200</v>
      </c>
      <c r="AE37" s="22">
        <f t="shared" si="5"/>
        <v>31813</v>
      </c>
      <c r="AF37" s="22">
        <f t="shared" si="6"/>
        <v>14476</v>
      </c>
      <c r="AG37" s="22">
        <f t="shared" ref="AG37:AG38" si="59">AVERAGE(Q37:AB37)</f>
        <v>23611.75</v>
      </c>
      <c r="AH37" s="22">
        <f t="shared" si="7"/>
        <v>119.76374689140647</v>
      </c>
      <c r="AI37" s="23">
        <f t="shared" si="8"/>
        <v>38.691541287706329</v>
      </c>
      <c r="AJ37" s="23">
        <f t="shared" si="9"/>
        <v>34.733766027507492</v>
      </c>
      <c r="AK37" s="24" t="s">
        <v>148</v>
      </c>
      <c r="AL37" s="22">
        <f t="shared" si="3"/>
        <v>283341</v>
      </c>
      <c r="AM37" s="22">
        <f t="shared" si="10"/>
        <v>283.34100000000001</v>
      </c>
      <c r="AN37" s="22">
        <f t="shared" si="11"/>
        <v>23.611750000000001</v>
      </c>
      <c r="AO37" s="34">
        <v>43922</v>
      </c>
      <c r="AP37" s="36">
        <f t="shared" si="26"/>
        <v>54</v>
      </c>
      <c r="AQ37" s="22">
        <f t="shared" si="12"/>
        <v>419824.2346425</v>
      </c>
      <c r="AR37" s="22">
        <f>3504.12*AP37*0.5</f>
        <v>94611.239999999991</v>
      </c>
      <c r="AS37" s="22">
        <f t="shared" si="13"/>
        <v>591600.795838875</v>
      </c>
      <c r="AT37" s="22">
        <f>((20514.29-1468.24)/AB37)*1000*AN37*AP37</f>
        <v>1018981.6565426736</v>
      </c>
      <c r="AU37" s="42"/>
    </row>
    <row r="38" spans="1:47" x14ac:dyDescent="0.2">
      <c r="A38" s="17" t="s">
        <v>83</v>
      </c>
      <c r="B38" s="3" t="s">
        <v>84</v>
      </c>
      <c r="C38" s="3" t="s">
        <v>23</v>
      </c>
      <c r="D38" s="18" t="s">
        <v>136</v>
      </c>
      <c r="E38" s="19">
        <v>150</v>
      </c>
      <c r="F38" s="19">
        <v>150</v>
      </c>
      <c r="G38" s="19">
        <v>150</v>
      </c>
      <c r="H38" s="19">
        <v>150</v>
      </c>
      <c r="I38" s="19">
        <v>150</v>
      </c>
      <c r="J38" s="19">
        <v>150</v>
      </c>
      <c r="K38" s="19">
        <v>150</v>
      </c>
      <c r="L38" s="19">
        <v>150</v>
      </c>
      <c r="M38" s="19">
        <v>150</v>
      </c>
      <c r="N38" s="19">
        <v>150</v>
      </c>
      <c r="O38" s="19">
        <v>150</v>
      </c>
      <c r="P38" s="19">
        <v>150</v>
      </c>
      <c r="Q38" s="19">
        <f>2922+13290</f>
        <v>16212</v>
      </c>
      <c r="R38" s="19">
        <f>3017.423+12731.607</f>
        <v>15749.029999999999</v>
      </c>
      <c r="S38" s="19">
        <f>3218.307+12759.011</f>
        <v>15977.317999999999</v>
      </c>
      <c r="T38" s="19">
        <f>1444.389+9036.551</f>
        <v>10480.939999999999</v>
      </c>
      <c r="U38" s="19">
        <f>2341.575+10169.221</f>
        <v>12510.795999999998</v>
      </c>
      <c r="V38" s="19">
        <f>2767.463+13042.747</f>
        <v>15810.21</v>
      </c>
      <c r="W38" s="19">
        <f>2800.869+13473.383</f>
        <v>16274.252</v>
      </c>
      <c r="X38" s="19">
        <f>2583.11+12223.284</f>
        <v>14806.394</v>
      </c>
      <c r="Y38" s="19">
        <f>1824.668+10339.908</f>
        <v>12164.575999999999</v>
      </c>
      <c r="Z38" s="19">
        <f>1721.766+9215.848</f>
        <v>10937.614</v>
      </c>
      <c r="AA38" s="19">
        <f>1710.401+9069.872</f>
        <v>10780.272999999999</v>
      </c>
      <c r="AB38" s="19">
        <f>1874.679+10037.058</f>
        <v>11911.737000000001</v>
      </c>
      <c r="AC38" s="22">
        <f t="shared" si="57"/>
        <v>150</v>
      </c>
      <c r="AD38" s="22">
        <f t="shared" si="58"/>
        <v>150</v>
      </c>
      <c r="AE38" s="22">
        <f t="shared" si="5"/>
        <v>16274.252</v>
      </c>
      <c r="AF38" s="22">
        <f t="shared" si="6"/>
        <v>10480.939999999999</v>
      </c>
      <c r="AG38" s="22">
        <f t="shared" si="59"/>
        <v>13634.594999999999</v>
      </c>
      <c r="AH38" s="22">
        <f t="shared" si="7"/>
        <v>55.274736807958092</v>
      </c>
      <c r="AI38" s="23">
        <f t="shared" si="8"/>
        <v>23.129803268817305</v>
      </c>
      <c r="AJ38" s="23">
        <f t="shared" si="9"/>
        <v>19.359995658103532</v>
      </c>
      <c r="AK38" s="24" t="s">
        <v>148</v>
      </c>
      <c r="AL38" s="22">
        <f t="shared" si="3"/>
        <v>163615.13999999998</v>
      </c>
      <c r="AM38" s="22">
        <f t="shared" si="10"/>
        <v>163.61514</v>
      </c>
      <c r="AN38" s="22">
        <f t="shared" si="11"/>
        <v>13.634594999999999</v>
      </c>
      <c r="AO38" s="34">
        <v>43864</v>
      </c>
      <c r="AP38" s="36">
        <f t="shared" si="26"/>
        <v>55.93333333333333</v>
      </c>
      <c r="AQ38" s="22">
        <f t="shared" si="12"/>
        <v>251106.82267495498</v>
      </c>
      <c r="AR38" s="22">
        <f>1918.6*AP38*0.5</f>
        <v>53656.846666666665</v>
      </c>
      <c r="AS38" s="22">
        <f t="shared" si="13"/>
        <v>350478.21974286484</v>
      </c>
      <c r="AT38" s="22">
        <f>((8108.46-111.76-592.65)/AB38)*1000*AN38*AP38</f>
        <v>474031.48781788495</v>
      </c>
      <c r="AU38" s="42"/>
    </row>
    <row r="39" spans="1:47" x14ac:dyDescent="0.2">
      <c r="A39" s="17" t="s">
        <v>85</v>
      </c>
      <c r="B39" s="3" t="s">
        <v>86</v>
      </c>
      <c r="C39" s="3" t="s">
        <v>55</v>
      </c>
      <c r="D39" s="18" t="s">
        <v>136</v>
      </c>
      <c r="E39" s="19">
        <v>320</v>
      </c>
      <c r="F39" s="19">
        <v>320</v>
      </c>
      <c r="G39" s="19">
        <v>320</v>
      </c>
      <c r="H39" s="19">
        <v>200</v>
      </c>
      <c r="I39" s="19">
        <v>200</v>
      </c>
      <c r="J39" s="19">
        <v>207.36</v>
      </c>
      <c r="K39" s="19">
        <v>200</v>
      </c>
      <c r="L39" s="19">
        <v>200</v>
      </c>
      <c r="M39" s="19">
        <v>200</v>
      </c>
      <c r="N39" s="19">
        <v>200</v>
      </c>
      <c r="O39" s="19">
        <v>200</v>
      </c>
      <c r="P39" s="19">
        <v>200</v>
      </c>
      <c r="Q39" s="19">
        <f>5096+29453</f>
        <v>34549</v>
      </c>
      <c r="R39" s="19">
        <f>6403+33954</f>
        <v>40357</v>
      </c>
      <c r="S39" s="19">
        <f>5454+31558</f>
        <v>37012</v>
      </c>
      <c r="T39" s="19">
        <f>3387+23353</f>
        <v>26740</v>
      </c>
      <c r="U39" s="19">
        <f>5932+30951</f>
        <v>36883</v>
      </c>
      <c r="V39" s="19">
        <f>6739+40745</f>
        <v>47484</v>
      </c>
      <c r="W39" s="19">
        <f>5418+34334</f>
        <v>39752</v>
      </c>
      <c r="X39" s="19">
        <f>4837+31490</f>
        <v>36327</v>
      </c>
      <c r="Y39" s="19">
        <f>3248+21907</f>
        <v>25155</v>
      </c>
      <c r="Z39" s="19">
        <f>3700+21401</f>
        <v>25101</v>
      </c>
      <c r="AA39" s="19">
        <f>2147+28036</f>
        <v>30183</v>
      </c>
      <c r="AB39" s="19">
        <f>3668+31233</f>
        <v>34901</v>
      </c>
      <c r="AC39" s="22">
        <f t="shared" ref="AC39" si="60">MAX(E39:P39)</f>
        <v>320</v>
      </c>
      <c r="AD39" s="22">
        <f t="shared" ref="AD39" si="61">AVERAGE(E39:P39)</f>
        <v>230.61333333333334</v>
      </c>
      <c r="AE39" s="22">
        <f t="shared" si="5"/>
        <v>47484</v>
      </c>
      <c r="AF39" s="22">
        <f t="shared" si="6"/>
        <v>25101</v>
      </c>
      <c r="AG39" s="22">
        <f t="shared" ref="AG39" si="62">AVERAGE(Q39:AB39)</f>
        <v>34537</v>
      </c>
      <c r="AH39" s="22">
        <f t="shared" si="7"/>
        <v>89.171746145571888</v>
      </c>
      <c r="AI39" s="23">
        <f t="shared" si="8"/>
        <v>27.321423400990241</v>
      </c>
      <c r="AJ39" s="23">
        <f t="shared" si="9"/>
        <v>37.487332426093758</v>
      </c>
      <c r="AK39" s="24" t="s">
        <v>147</v>
      </c>
      <c r="AL39" s="22">
        <f t="shared" si="3"/>
        <v>414444</v>
      </c>
      <c r="AM39" s="22">
        <f t="shared" si="10"/>
        <v>414.44400000000002</v>
      </c>
      <c r="AN39" s="22">
        <f t="shared" si="11"/>
        <v>34.536999999999999</v>
      </c>
      <c r="AO39" s="34">
        <v>43952</v>
      </c>
      <c r="AP39" s="36">
        <f t="shared" si="26"/>
        <v>53</v>
      </c>
      <c r="AQ39" s="22">
        <f t="shared" si="12"/>
        <v>602706.74116500001</v>
      </c>
      <c r="AR39" s="22">
        <f>3536.66*AP39*0.5</f>
        <v>93721.489999999991</v>
      </c>
      <c r="AS39" s="22">
        <f t="shared" si="13"/>
        <v>800892.4658397499</v>
      </c>
      <c r="AT39" s="22">
        <f>((27454.11-2150.18)/AB39)*1000*AN39*AP39</f>
        <v>1327121.2003017105</v>
      </c>
      <c r="AU39" s="42"/>
    </row>
    <row r="40" spans="1:47" x14ac:dyDescent="0.2">
      <c r="A40" s="17" t="s">
        <v>87</v>
      </c>
      <c r="B40" s="3" t="s">
        <v>88</v>
      </c>
      <c r="C40" s="3" t="s">
        <v>37</v>
      </c>
      <c r="D40" s="18" t="s">
        <v>136</v>
      </c>
      <c r="E40" s="19">
        <v>250</v>
      </c>
      <c r="F40" s="19">
        <v>250</v>
      </c>
      <c r="G40" s="19">
        <v>250</v>
      </c>
      <c r="H40" s="19">
        <v>250</v>
      </c>
      <c r="I40" s="19">
        <v>250</v>
      </c>
      <c r="J40" s="19">
        <v>250</v>
      </c>
      <c r="K40" s="19">
        <v>250</v>
      </c>
      <c r="L40" s="19">
        <v>250</v>
      </c>
      <c r="M40" s="19">
        <v>250</v>
      </c>
      <c r="N40" s="19">
        <v>250</v>
      </c>
      <c r="O40" s="19">
        <v>250</v>
      </c>
      <c r="P40" s="19">
        <v>250</v>
      </c>
      <c r="Q40" s="19">
        <f>3477.3+20188.8</f>
        <v>23666.1</v>
      </c>
      <c r="R40" s="19">
        <f>3566.1+19353.2</f>
        <v>22919.3</v>
      </c>
      <c r="S40" s="19">
        <f>3636.8+20255.6</f>
        <v>23892.399999999998</v>
      </c>
      <c r="T40" s="19">
        <f>3250.9+19667.2</f>
        <v>22918.100000000002</v>
      </c>
      <c r="U40" s="19">
        <f>2470.5+16200.3</f>
        <v>18670.8</v>
      </c>
      <c r="V40" s="19">
        <f>3832.6+21785</f>
        <v>25617.599999999999</v>
      </c>
      <c r="W40" s="19">
        <f>3906.9+24116.7</f>
        <v>28023.600000000002</v>
      </c>
      <c r="X40" s="19">
        <f>3360.3+19831.9</f>
        <v>23192.2</v>
      </c>
      <c r="Y40" s="19">
        <f>2922.8+18722.6</f>
        <v>21645.399999999998</v>
      </c>
      <c r="Z40" s="19">
        <f>2565.3+17067.6</f>
        <v>19632.899999999998</v>
      </c>
      <c r="AA40" s="19">
        <f>2814+18290.9</f>
        <v>21104.9</v>
      </c>
      <c r="AB40" s="19">
        <f>2750+18143.8</f>
        <v>20893.8</v>
      </c>
      <c r="AC40" s="22">
        <f t="shared" ref="AC40" si="63">MAX(E40:P40)</f>
        <v>250</v>
      </c>
      <c r="AD40" s="22">
        <f t="shared" ref="AD40" si="64">AVERAGE(E40:P40)</f>
        <v>250</v>
      </c>
      <c r="AE40" s="22">
        <f t="shared" si="5"/>
        <v>28023.600000000002</v>
      </c>
      <c r="AF40" s="22">
        <f t="shared" si="6"/>
        <v>18670.8</v>
      </c>
      <c r="AG40" s="22">
        <f t="shared" ref="AG40" si="65">AVERAGE(Q40:AB40)</f>
        <v>22681.424999999999</v>
      </c>
      <c r="AH40" s="22">
        <f t="shared" si="7"/>
        <v>50.093193649977522</v>
      </c>
      <c r="AI40" s="23">
        <f t="shared" si="8"/>
        <v>17.68242074737368</v>
      </c>
      <c r="AJ40" s="23">
        <f t="shared" si="9"/>
        <v>23.553083635618147</v>
      </c>
      <c r="AK40" s="24" t="s">
        <v>148</v>
      </c>
      <c r="AL40" s="22">
        <f t="shared" si="3"/>
        <v>272177.09999999998</v>
      </c>
      <c r="AM40" s="22">
        <f t="shared" si="10"/>
        <v>272.1771</v>
      </c>
      <c r="AN40" s="22">
        <f t="shared" si="11"/>
        <v>22.681425000000001</v>
      </c>
      <c r="AO40" s="34">
        <v>44105</v>
      </c>
      <c r="AP40" s="36">
        <f t="shared" si="26"/>
        <v>48</v>
      </c>
      <c r="AQ40" s="22">
        <f t="shared" si="12"/>
        <v>358473.57132599998</v>
      </c>
      <c r="AR40" s="22">
        <f>2792.5*AP40*0.5</f>
        <v>67020</v>
      </c>
      <c r="AS40" s="22">
        <f t="shared" si="13"/>
        <v>489317.60702489992</v>
      </c>
      <c r="AT40" s="22">
        <f>((14352.34-1114.68-168.96)/AB40)*1000*AN40*AP40</f>
        <v>680967.7256927893</v>
      </c>
      <c r="AU40" s="42"/>
    </row>
    <row r="41" spans="1:47" x14ac:dyDescent="0.2">
      <c r="A41" s="17" t="s">
        <v>89</v>
      </c>
      <c r="B41" s="3" t="s">
        <v>90</v>
      </c>
      <c r="C41" s="3" t="s">
        <v>37</v>
      </c>
      <c r="D41" s="18" t="s">
        <v>136</v>
      </c>
      <c r="E41" s="19">
        <v>105</v>
      </c>
      <c r="F41" s="19">
        <v>110.8</v>
      </c>
      <c r="G41" s="19">
        <v>82.9</v>
      </c>
      <c r="H41" s="19">
        <v>94.2</v>
      </c>
      <c r="I41" s="19">
        <v>100.4</v>
      </c>
      <c r="J41" s="19">
        <v>87.7</v>
      </c>
      <c r="K41" s="19">
        <v>104.2</v>
      </c>
      <c r="L41" s="19">
        <v>98.9</v>
      </c>
      <c r="M41" s="19">
        <v>86.5</v>
      </c>
      <c r="N41" s="19">
        <v>80</v>
      </c>
      <c r="O41" s="19">
        <v>80</v>
      </c>
      <c r="P41" s="19">
        <v>83.1</v>
      </c>
      <c r="Q41" s="19">
        <f>3175+18289.7</f>
        <v>21464.7</v>
      </c>
      <c r="R41" s="19">
        <f>3140.1+17371.9</f>
        <v>20512</v>
      </c>
      <c r="S41" s="19">
        <f>2471.8+15593.5</f>
        <v>18065.3</v>
      </c>
      <c r="T41" s="19">
        <f>2453.1+14788.1</f>
        <v>17241.2</v>
      </c>
      <c r="U41" s="19">
        <f>2384.5+13469.5</f>
        <v>15854</v>
      </c>
      <c r="V41" s="19">
        <f>3022.9+17407.8</f>
        <v>20430.7</v>
      </c>
      <c r="W41" s="19">
        <f>3476.9+19704.1</f>
        <v>23181</v>
      </c>
      <c r="X41" s="19">
        <f>2866.8+16600.2</f>
        <v>19467</v>
      </c>
      <c r="Y41" s="19">
        <f>2675.1+16228.8</f>
        <v>18903.899999999998</v>
      </c>
      <c r="Z41" s="19">
        <f>2318.2+13738.3</f>
        <v>16056.5</v>
      </c>
      <c r="AA41" s="19">
        <f>2482.9+14100.1</f>
        <v>16583</v>
      </c>
      <c r="AB41" s="19">
        <f>2310.6+12934</f>
        <v>15244.6</v>
      </c>
      <c r="AC41" s="22">
        <f t="shared" ref="AC41" si="66">MAX(E41:P41)</f>
        <v>110.8</v>
      </c>
      <c r="AD41" s="22">
        <f t="shared" ref="AD41" si="67">AVERAGE(E41:P41)</f>
        <v>92.808333333333337</v>
      </c>
      <c r="AE41" s="22">
        <f t="shared" si="5"/>
        <v>23181</v>
      </c>
      <c r="AF41" s="22">
        <f t="shared" si="6"/>
        <v>15244.6</v>
      </c>
      <c r="AG41" s="22">
        <f t="shared" ref="AG41" si="68">AVERAGE(Q41:AB41)</f>
        <v>18583.658333333333</v>
      </c>
      <c r="AH41" s="22">
        <f t="shared" si="7"/>
        <v>52.060401716017466</v>
      </c>
      <c r="AI41" s="23">
        <f t="shared" si="8"/>
        <v>17.967712672289586</v>
      </c>
      <c r="AJ41" s="23">
        <f t="shared" si="9"/>
        <v>24.738625647354155</v>
      </c>
      <c r="AK41" s="24" t="s">
        <v>148</v>
      </c>
      <c r="AL41" s="22">
        <f t="shared" ref="AL41:AL63" si="69">SUM(Q41:AB41)</f>
        <v>223003.9</v>
      </c>
      <c r="AM41" s="22">
        <f t="shared" si="10"/>
        <v>223.00389999999999</v>
      </c>
      <c r="AN41" s="22">
        <f t="shared" si="11"/>
        <v>18.583658333333332</v>
      </c>
      <c r="AO41" s="34">
        <v>44013</v>
      </c>
      <c r="AP41" s="36">
        <f t="shared" si="26"/>
        <v>51</v>
      </c>
      <c r="AQ41" s="22">
        <f t="shared" si="12"/>
        <v>312066.36131737498</v>
      </c>
      <c r="AR41" s="22">
        <f>1257.03*AP41*0.5</f>
        <v>32054.264999999999</v>
      </c>
      <c r="AS41" s="22">
        <f t="shared" si="13"/>
        <v>395738.72026498121</v>
      </c>
      <c r="AT41" s="22">
        <f>((9323.39-794.62-141.96)/AB41)*1000*AN41*AP41</f>
        <v>521413.36531465239</v>
      </c>
      <c r="AU41" s="42"/>
    </row>
    <row r="42" spans="1:47" x14ac:dyDescent="0.2">
      <c r="A42" s="17" t="s">
        <v>46</v>
      </c>
      <c r="B42" s="3" t="s">
        <v>47</v>
      </c>
      <c r="C42" s="3" t="s">
        <v>44</v>
      </c>
      <c r="D42" s="18" t="s">
        <v>136</v>
      </c>
      <c r="E42" s="26"/>
      <c r="F42" s="26"/>
      <c r="G42" s="26"/>
      <c r="H42" s="26"/>
      <c r="I42" s="26"/>
      <c r="J42" s="19">
        <v>220</v>
      </c>
      <c r="K42" s="19">
        <v>220</v>
      </c>
      <c r="L42" s="19">
        <v>220</v>
      </c>
      <c r="M42" s="19">
        <v>220</v>
      </c>
      <c r="N42" s="19">
        <v>220</v>
      </c>
      <c r="O42" s="19">
        <v>220</v>
      </c>
      <c r="P42" s="19">
        <v>220</v>
      </c>
      <c r="Q42" s="26"/>
      <c r="R42" s="26"/>
      <c r="S42" s="26"/>
      <c r="T42" s="26"/>
      <c r="U42" s="26"/>
      <c r="V42" s="19">
        <f>2430.225+14316.183+3626.217</f>
        <v>20372.625</v>
      </c>
      <c r="W42" s="19">
        <f>4045.986+19410.489+4094.811</f>
        <v>27551.286000000004</v>
      </c>
      <c r="X42" s="19">
        <f>2983.176+15114.204+3213.126</f>
        <v>21310.506000000001</v>
      </c>
      <c r="Y42" s="19">
        <f>785.043+5622.372+1250.991</f>
        <v>7658.4059999999999</v>
      </c>
      <c r="Z42" s="19">
        <f>3437.973+15740.991+3266.235</f>
        <v>22445.199000000001</v>
      </c>
      <c r="AA42" s="19">
        <f>3383.478+16607.178+3144.078</f>
        <v>23134.734</v>
      </c>
      <c r="AB42" s="19">
        <f>3821.832+18045.279+3147.921</f>
        <v>25015.031999999996</v>
      </c>
      <c r="AC42" s="22">
        <f>MAX(J42:P42)</f>
        <v>220</v>
      </c>
      <c r="AD42" s="22">
        <f>AVERAGE(J42:P42)</f>
        <v>220</v>
      </c>
      <c r="AE42" s="22">
        <f t="shared" si="5"/>
        <v>27551.286000000004</v>
      </c>
      <c r="AF42" s="22">
        <f t="shared" si="6"/>
        <v>7658.4059999999999</v>
      </c>
      <c r="AG42" s="22">
        <f>AVERAGE(V42:AB42)</f>
        <v>21069.684000000005</v>
      </c>
      <c r="AH42" s="22">
        <f t="shared" si="7"/>
        <v>259.75222520195462</v>
      </c>
      <c r="AI42" s="23">
        <f t="shared" si="8"/>
        <v>63.652013005985296</v>
      </c>
      <c r="AJ42" s="23">
        <f t="shared" si="9"/>
        <v>30.76269202708497</v>
      </c>
      <c r="AK42" s="24" t="s">
        <v>147</v>
      </c>
      <c r="AL42" s="22">
        <f t="shared" si="69"/>
        <v>147487.78800000003</v>
      </c>
      <c r="AM42" s="22">
        <f t="shared" si="10"/>
        <v>147.48778800000002</v>
      </c>
      <c r="AN42" s="22">
        <f t="shared" si="11"/>
        <v>12.290649000000002</v>
      </c>
      <c r="AO42" s="34">
        <v>44075</v>
      </c>
      <c r="AP42" s="36">
        <f t="shared" si="26"/>
        <v>49</v>
      </c>
      <c r="AQ42" s="22">
        <f t="shared" si="12"/>
        <v>198297.14660626504</v>
      </c>
      <c r="AR42" s="22">
        <f>3117.61*AP42*0.5</f>
        <v>76381.445000000007</v>
      </c>
      <c r="AS42" s="22">
        <f t="shared" si="13"/>
        <v>315880.3803472048</v>
      </c>
      <c r="AT42" s="22">
        <f>((20174.6-1647.25)/AB42)*1000*AN42*AP42</f>
        <v>446049.5845760802</v>
      </c>
      <c r="AU42" s="42"/>
    </row>
    <row r="43" spans="1:47" x14ac:dyDescent="0.2">
      <c r="A43" s="17" t="s">
        <v>91</v>
      </c>
      <c r="B43" s="3" t="s">
        <v>92</v>
      </c>
      <c r="C43" s="3" t="s">
        <v>23</v>
      </c>
      <c r="D43" s="18" t="s">
        <v>136</v>
      </c>
      <c r="E43" s="19">
        <v>400</v>
      </c>
      <c r="F43" s="19">
        <v>400</v>
      </c>
      <c r="G43" s="19">
        <v>400</v>
      </c>
      <c r="H43" s="19">
        <v>400</v>
      </c>
      <c r="I43" s="19">
        <v>400</v>
      </c>
      <c r="J43" s="19">
        <v>400</v>
      </c>
      <c r="K43" s="19">
        <v>400</v>
      </c>
      <c r="L43" s="19">
        <v>400</v>
      </c>
      <c r="M43" s="20">
        <v>400</v>
      </c>
      <c r="N43" s="19">
        <f>400</f>
        <v>400</v>
      </c>
      <c r="O43" s="19">
        <v>400</v>
      </c>
      <c r="P43" s="19">
        <v>400</v>
      </c>
      <c r="Q43" s="19">
        <f>8040.8+38844.1</f>
        <v>46884.9</v>
      </c>
      <c r="R43" s="19">
        <f>9355.35+42037.7</f>
        <v>51393.049999999996</v>
      </c>
      <c r="S43" s="19">
        <f>9602.85+41291.4</f>
        <v>50894.25</v>
      </c>
      <c r="T43" s="19">
        <f>9571.5+44643</f>
        <v>54214.5</v>
      </c>
      <c r="U43" s="19">
        <f>4962.2+33979.8</f>
        <v>38942</v>
      </c>
      <c r="V43" s="19">
        <f>8504+40076.95</f>
        <v>48580.95</v>
      </c>
      <c r="W43" s="19">
        <f>9017.65+43226.6</f>
        <v>52244.25</v>
      </c>
      <c r="X43" s="19">
        <f>9894.15+43985.45</f>
        <v>53879.6</v>
      </c>
      <c r="Y43" s="19">
        <v>32363.8</v>
      </c>
      <c r="Z43" s="19">
        <f>6703.15+34601.95</f>
        <v>41305.1</v>
      </c>
      <c r="AA43" s="19">
        <f>6905.6+31887.75</f>
        <v>38793.35</v>
      </c>
      <c r="AB43" s="19">
        <f>6404.3+30839.9</f>
        <v>37244.200000000004</v>
      </c>
      <c r="AC43" s="22">
        <f t="shared" ref="AC43:AC44" si="70">MAX(E43:P43)</f>
        <v>400</v>
      </c>
      <c r="AD43" s="22">
        <f t="shared" ref="AD43:AD44" si="71">AVERAGE(E43:P43)</f>
        <v>400</v>
      </c>
      <c r="AE43" s="22">
        <f t="shared" si="5"/>
        <v>54214.5</v>
      </c>
      <c r="AF43" s="22">
        <f t="shared" si="6"/>
        <v>32363.8</v>
      </c>
      <c r="AG43" s="22">
        <f t="shared" ref="AG43:AG44" si="72">AVERAGE(Q43:AB43)</f>
        <v>45561.662499999999</v>
      </c>
      <c r="AH43" s="22">
        <f t="shared" si="7"/>
        <v>67.515866492809877</v>
      </c>
      <c r="AI43" s="23">
        <f t="shared" si="8"/>
        <v>28.96703451064807</v>
      </c>
      <c r="AJ43" s="23">
        <f t="shared" si="9"/>
        <v>18.991487635026491</v>
      </c>
      <c r="AK43" s="24" t="s">
        <v>148</v>
      </c>
      <c r="AL43" s="22">
        <f t="shared" si="69"/>
        <v>546739.94999999995</v>
      </c>
      <c r="AM43" s="22">
        <f t="shared" si="10"/>
        <v>546.73994999999991</v>
      </c>
      <c r="AN43" s="22">
        <f t="shared" si="11"/>
        <v>45.56166249999999</v>
      </c>
      <c r="AO43" s="34">
        <v>43962</v>
      </c>
      <c r="AP43" s="36">
        <f t="shared" si="26"/>
        <v>52.666666666666664</v>
      </c>
      <c r="AQ43" s="22">
        <f t="shared" si="12"/>
        <v>790098.00229462481</v>
      </c>
      <c r="AR43" s="22">
        <f>5116.28*AP43*0.5</f>
        <v>134728.70666666667</v>
      </c>
      <c r="AS43" s="22">
        <f t="shared" si="13"/>
        <v>1063550.7153054851</v>
      </c>
      <c r="AT43" s="22">
        <f>((26998.3-418.46-2015.15)/AB43)*1000*AN43*AP43</f>
        <v>1582661.4810820271</v>
      </c>
      <c r="AU43" s="42"/>
    </row>
    <row r="44" spans="1:47" x14ac:dyDescent="0.2">
      <c r="A44" s="17" t="s">
        <v>93</v>
      </c>
      <c r="B44" s="3" t="s">
        <v>94</v>
      </c>
      <c r="C44" s="3" t="s">
        <v>41</v>
      </c>
      <c r="D44" s="18" t="s">
        <v>136</v>
      </c>
      <c r="E44" s="19">
        <v>101.25</v>
      </c>
      <c r="F44" s="19">
        <v>106.86</v>
      </c>
      <c r="G44" s="19">
        <v>100</v>
      </c>
      <c r="H44" s="19">
        <v>102.88</v>
      </c>
      <c r="I44" s="19">
        <v>100</v>
      </c>
      <c r="J44" s="19">
        <v>100</v>
      </c>
      <c r="K44" s="19">
        <v>111.44</v>
      </c>
      <c r="L44" s="19">
        <v>100</v>
      </c>
      <c r="M44" s="19">
        <v>100</v>
      </c>
      <c r="N44" s="19">
        <v>100</v>
      </c>
      <c r="O44" s="19">
        <v>100</v>
      </c>
      <c r="P44" s="19">
        <v>100</v>
      </c>
      <c r="Q44" s="19">
        <f>3227+16319</f>
        <v>19546</v>
      </c>
      <c r="R44" s="19">
        <f>2918+14319</f>
        <v>17237</v>
      </c>
      <c r="S44" s="19">
        <f>2567+14145</f>
        <v>16712</v>
      </c>
      <c r="T44" s="19">
        <f>2077+13008</f>
        <v>15085</v>
      </c>
      <c r="U44" s="19">
        <f>1512+10760</f>
        <v>12272</v>
      </c>
      <c r="V44" s="19">
        <f>2501+14448</f>
        <v>16949</v>
      </c>
      <c r="W44" s="19">
        <f>3568+19143</f>
        <v>22711</v>
      </c>
      <c r="X44" s="19">
        <f>3320+15393</f>
        <v>18713</v>
      </c>
      <c r="Y44" s="19">
        <f>2682+13815</f>
        <v>16497</v>
      </c>
      <c r="Z44" s="19">
        <f>1880+10771</f>
        <v>12651</v>
      </c>
      <c r="AA44" s="19">
        <f>2139+11073</f>
        <v>13212</v>
      </c>
      <c r="AB44" s="19">
        <f>1873+10842</f>
        <v>12715</v>
      </c>
      <c r="AC44" s="22">
        <f t="shared" si="70"/>
        <v>111.44</v>
      </c>
      <c r="AD44" s="22">
        <f t="shared" si="71"/>
        <v>101.86916666666667</v>
      </c>
      <c r="AE44" s="22">
        <f t="shared" si="5"/>
        <v>22711</v>
      </c>
      <c r="AF44" s="22">
        <f t="shared" si="6"/>
        <v>12272</v>
      </c>
      <c r="AG44" s="22">
        <f t="shared" si="72"/>
        <v>16191.666666666666</v>
      </c>
      <c r="AH44" s="22">
        <f t="shared" si="7"/>
        <v>85.063559322033896</v>
      </c>
      <c r="AI44" s="23">
        <f t="shared" si="8"/>
        <v>24.207925887802364</v>
      </c>
      <c r="AJ44" s="23">
        <f t="shared" si="9"/>
        <v>40.263510036026766</v>
      </c>
      <c r="AK44" s="24" t="s">
        <v>148</v>
      </c>
      <c r="AL44" s="22">
        <f t="shared" si="69"/>
        <v>194300</v>
      </c>
      <c r="AM44" s="22">
        <f t="shared" si="10"/>
        <v>194.3</v>
      </c>
      <c r="AN44" s="22">
        <f t="shared" si="11"/>
        <v>16.191666666666666</v>
      </c>
      <c r="AO44" s="34">
        <v>43918</v>
      </c>
      <c r="AP44" s="36">
        <f t="shared" si="26"/>
        <v>54.1</v>
      </c>
      <c r="AQ44" s="22">
        <f t="shared" si="12"/>
        <v>288425.9876625</v>
      </c>
      <c r="AR44" s="22">
        <f>1176.32*AP44*0.5</f>
        <v>31819.455999999998</v>
      </c>
      <c r="AS44" s="22">
        <f t="shared" si="13"/>
        <v>368282.26021187496</v>
      </c>
      <c r="AT44" s="22">
        <f>((9706.75-837.39)/AB44)*1000*AN44*AP44</f>
        <v>611033.10169615957</v>
      </c>
      <c r="AU44" s="42"/>
    </row>
    <row r="45" spans="1:47" x14ac:dyDescent="0.2">
      <c r="A45" s="17" t="s">
        <v>95</v>
      </c>
      <c r="B45" s="3" t="s">
        <v>96</v>
      </c>
      <c r="C45" s="3" t="s">
        <v>55</v>
      </c>
      <c r="D45" s="18" t="s">
        <v>136</v>
      </c>
      <c r="E45" s="19">
        <v>180</v>
      </c>
      <c r="F45" s="19">
        <v>425</v>
      </c>
      <c r="G45" s="19">
        <v>425</v>
      </c>
      <c r="H45" s="19">
        <v>425</v>
      </c>
      <c r="I45" s="19">
        <v>425</v>
      </c>
      <c r="J45" s="19">
        <v>206.34</v>
      </c>
      <c r="K45" s="19">
        <v>231.58</v>
      </c>
      <c r="L45" s="19">
        <v>223.46</v>
      </c>
      <c r="M45" s="19">
        <v>184.64</v>
      </c>
      <c r="N45" s="19">
        <v>180</v>
      </c>
      <c r="O45" s="19">
        <v>180</v>
      </c>
      <c r="P45" s="19">
        <v>180</v>
      </c>
      <c r="Q45" s="19">
        <f>5028+30818</f>
        <v>35846</v>
      </c>
      <c r="R45" s="19">
        <f>4905+30064</f>
        <v>34969</v>
      </c>
      <c r="S45" s="19">
        <f>4862+27863</f>
        <v>32725</v>
      </c>
      <c r="T45" s="19">
        <f>4585+26778</f>
        <v>31363</v>
      </c>
      <c r="U45" s="19">
        <f>5920+31275</f>
        <v>37195</v>
      </c>
      <c r="V45" s="19">
        <f>4345+27376</f>
        <v>31721</v>
      </c>
      <c r="W45" s="19">
        <f>5888+34449</f>
        <v>40337</v>
      </c>
      <c r="X45" s="19">
        <f>5286+31936</f>
        <v>37222</v>
      </c>
      <c r="Y45" s="19">
        <f>4331+29072</f>
        <v>33403</v>
      </c>
      <c r="Z45" s="19">
        <f>4797+29689</f>
        <v>34486</v>
      </c>
      <c r="AA45" s="19">
        <f>3259+17612</f>
        <v>20871</v>
      </c>
      <c r="AB45" s="19">
        <f>2804+17020</f>
        <v>19824</v>
      </c>
      <c r="AC45" s="22">
        <f t="shared" ref="AC45" si="73">MAX(E45:P45)</f>
        <v>425</v>
      </c>
      <c r="AD45" s="22">
        <f t="shared" ref="AD45" si="74">AVERAGE(E45:P45)</f>
        <v>272.16833333333335</v>
      </c>
      <c r="AE45" s="22">
        <f t="shared" si="5"/>
        <v>40337</v>
      </c>
      <c r="AF45" s="22">
        <f t="shared" si="6"/>
        <v>19824</v>
      </c>
      <c r="AG45" s="22">
        <f t="shared" ref="AG45" si="75">AVERAGE(Q45:AB45)</f>
        <v>32496.833333333332</v>
      </c>
      <c r="AH45" s="22">
        <f t="shared" si="7"/>
        <v>103.47558514931396</v>
      </c>
      <c r="AI45" s="23">
        <f t="shared" si="8"/>
        <v>38.997133053989877</v>
      </c>
      <c r="AJ45" s="23">
        <f t="shared" si="9"/>
        <v>24.125940476251536</v>
      </c>
      <c r="AK45" s="24" t="s">
        <v>147</v>
      </c>
      <c r="AL45" s="22">
        <f t="shared" si="69"/>
        <v>389962</v>
      </c>
      <c r="AM45" s="22">
        <f t="shared" si="10"/>
        <v>389.96199999999999</v>
      </c>
      <c r="AN45" s="22">
        <f t="shared" si="11"/>
        <v>32.496833333333335</v>
      </c>
      <c r="AO45" s="34">
        <v>43739</v>
      </c>
      <c r="AP45" s="36">
        <f t="shared" si="26"/>
        <v>60</v>
      </c>
      <c r="AQ45" s="22">
        <f t="shared" si="12"/>
        <v>642004.18965000007</v>
      </c>
      <c r="AR45" s="22">
        <f>2970*AP45*0.5</f>
        <v>89100</v>
      </c>
      <c r="AS45" s="22">
        <f t="shared" si="13"/>
        <v>840769.81809750001</v>
      </c>
      <c r="AT45" s="22">
        <f>((15102.1-1221.16)/AB45)*1000*AN45*AP45</f>
        <v>1365274.1939769976</v>
      </c>
      <c r="AU45" s="42"/>
    </row>
    <row r="46" spans="1:47" x14ac:dyDescent="0.2">
      <c r="A46" s="17" t="s">
        <v>97</v>
      </c>
      <c r="B46" s="3" t="s">
        <v>98</v>
      </c>
      <c r="C46" s="3" t="s">
        <v>23</v>
      </c>
      <c r="D46" s="18" t="s">
        <v>136</v>
      </c>
      <c r="E46" s="19">
        <v>266.976</v>
      </c>
      <c r="F46" s="19">
        <v>293.37599999999998</v>
      </c>
      <c r="G46" s="19">
        <v>296.83199999999999</v>
      </c>
      <c r="H46" s="19">
        <v>256.12799999999999</v>
      </c>
      <c r="I46" s="19">
        <v>250</v>
      </c>
      <c r="J46" s="19">
        <v>250</v>
      </c>
      <c r="K46" s="19">
        <v>304.70400000000001</v>
      </c>
      <c r="L46" s="19">
        <v>266.20800000000003</v>
      </c>
      <c r="M46" s="19">
        <v>250</v>
      </c>
      <c r="N46" s="19">
        <v>250</v>
      </c>
      <c r="O46" s="19">
        <v>250</v>
      </c>
      <c r="P46" s="19">
        <v>250</v>
      </c>
      <c r="Q46" s="19">
        <f>9831.672+48388.992</f>
        <v>58220.663999999997</v>
      </c>
      <c r="R46" s="19">
        <f>11083.104+58099.92</f>
        <v>69183.024000000005</v>
      </c>
      <c r="S46" s="19">
        <f>11193.768+50976.72</f>
        <v>62170.487999999998</v>
      </c>
      <c r="T46" s="19">
        <f>11279.472+54137.88</f>
        <v>65417.351999999999</v>
      </c>
      <c r="U46" s="19">
        <f>3128.448+21752.712</f>
        <v>24881.16</v>
      </c>
      <c r="V46" s="19">
        <f>8016.912+38501.184</f>
        <v>46518.096000000005</v>
      </c>
      <c r="W46" s="19">
        <f>11979.144+58619.904</f>
        <v>70599.04800000001</v>
      </c>
      <c r="X46" s="19">
        <f>11408.568+58030.584</f>
        <v>69439.152000000002</v>
      </c>
      <c r="Y46" s="19">
        <f>9024.432+45252.984</f>
        <v>54277.415999999997</v>
      </c>
      <c r="Z46" s="19">
        <f>7121.712+37267.512</f>
        <v>44389.224000000002</v>
      </c>
      <c r="AA46" s="19">
        <f>6133.368+34961.088</f>
        <v>41094.456000000006</v>
      </c>
      <c r="AB46" s="19">
        <f>7344.192+36398.88</f>
        <v>43743.072</v>
      </c>
      <c r="AC46" s="22">
        <f t="shared" ref="AC46" si="76">MAX(E46:P46)</f>
        <v>304.70400000000001</v>
      </c>
      <c r="AD46" s="22">
        <f t="shared" ref="AD46" si="77">AVERAGE(E46:P46)</f>
        <v>265.35199999999998</v>
      </c>
      <c r="AE46" s="22">
        <f t="shared" si="5"/>
        <v>70599.04800000001</v>
      </c>
      <c r="AF46" s="22">
        <f t="shared" si="6"/>
        <v>24881.16</v>
      </c>
      <c r="AG46" s="22">
        <f t="shared" ref="AG46" si="78">AVERAGE(Q46:AB46)</f>
        <v>54161.096000000012</v>
      </c>
      <c r="AH46" s="22">
        <f t="shared" si="7"/>
        <v>183.74500224266075</v>
      </c>
      <c r="AI46" s="23">
        <f t="shared" si="8"/>
        <v>54.060826243250339</v>
      </c>
      <c r="AJ46" s="23">
        <f t="shared" si="9"/>
        <v>30.350109606349168</v>
      </c>
      <c r="AK46" s="24" t="s">
        <v>147</v>
      </c>
      <c r="AL46" s="22">
        <f t="shared" si="69"/>
        <v>649933.15200000012</v>
      </c>
      <c r="AM46" s="22">
        <f t="shared" si="10"/>
        <v>649.93315200000006</v>
      </c>
      <c r="AN46" s="22">
        <f t="shared" si="11"/>
        <v>54.161096000000008</v>
      </c>
      <c r="AO46" s="34">
        <v>43847</v>
      </c>
      <c r="AP46" s="36">
        <f t="shared" si="26"/>
        <v>56.466666666666669</v>
      </c>
      <c r="AQ46" s="22">
        <f t="shared" si="12"/>
        <v>1006990.0148967123</v>
      </c>
      <c r="AR46" s="22">
        <f>3425.85*AP46*0.5</f>
        <v>96723.164999999994</v>
      </c>
      <c r="AS46" s="22">
        <f t="shared" si="13"/>
        <v>1269270.156881219</v>
      </c>
      <c r="AT46" s="22">
        <f>((29297.96-479.87-2378.38)/AB46)*1000*AN46*AP46</f>
        <v>1848532.1283627416</v>
      </c>
      <c r="AU46" s="42"/>
    </row>
    <row r="47" spans="1:47" x14ac:dyDescent="0.2">
      <c r="A47" s="17" t="s">
        <v>99</v>
      </c>
      <c r="B47" s="3" t="s">
        <v>100</v>
      </c>
      <c r="C47" s="3" t="s">
        <v>73</v>
      </c>
      <c r="D47" s="18" t="s">
        <v>136</v>
      </c>
      <c r="E47" s="19">
        <v>280</v>
      </c>
      <c r="F47" s="19">
        <v>280</v>
      </c>
      <c r="G47" s="19">
        <v>280</v>
      </c>
      <c r="H47" s="19">
        <v>280</v>
      </c>
      <c r="I47" s="19">
        <v>280</v>
      </c>
      <c r="J47" s="20">
        <v>280</v>
      </c>
      <c r="K47" s="19">
        <v>280</v>
      </c>
      <c r="L47" s="19">
        <v>280</v>
      </c>
      <c r="M47" s="19">
        <v>280</v>
      </c>
      <c r="N47" s="19">
        <v>280</v>
      </c>
      <c r="O47" s="20">
        <v>280</v>
      </c>
      <c r="P47" s="19">
        <v>280</v>
      </c>
      <c r="Q47" s="19">
        <f>4315.572+26187.084</f>
        <v>30502.655999999999</v>
      </c>
      <c r="R47" s="19">
        <f>4841.244+27304.164</f>
        <v>32145.407999999999</v>
      </c>
      <c r="S47" s="19">
        <f>5779.692+29155.14</f>
        <v>34934.832000000002</v>
      </c>
      <c r="T47" s="19">
        <f>6352.164+29374.704</f>
        <v>35726.868000000002</v>
      </c>
      <c r="U47" s="19">
        <f>3295.692+20980.656</f>
        <v>24276.347999999998</v>
      </c>
      <c r="V47" s="19">
        <v>30261.24</v>
      </c>
      <c r="W47" s="19">
        <f>6377.508+33976.548</f>
        <v>40354.056000000004</v>
      </c>
      <c r="X47" s="19">
        <f>6827.868+34209.936</f>
        <v>41037.804000000004</v>
      </c>
      <c r="Y47" s="19">
        <f>5889.96+32585.796</f>
        <v>38475.756000000001</v>
      </c>
      <c r="Z47" s="19">
        <f>4375.98+24442.92</f>
        <v>28818.899999999998</v>
      </c>
      <c r="AA47" s="19">
        <v>21249.61</v>
      </c>
      <c r="AB47" s="19">
        <f>3586.176+21249.612</f>
        <v>24835.788</v>
      </c>
      <c r="AC47" s="22">
        <f t="shared" ref="AC47" si="79">MAX(E47:P47)</f>
        <v>280</v>
      </c>
      <c r="AD47" s="22">
        <f t="shared" ref="AD47" si="80">AVERAGE(E47:P47)</f>
        <v>280</v>
      </c>
      <c r="AE47" s="22">
        <f t="shared" si="5"/>
        <v>41037.804000000004</v>
      </c>
      <c r="AF47" s="22">
        <f t="shared" si="6"/>
        <v>21249.61</v>
      </c>
      <c r="AG47" s="22">
        <f t="shared" ref="AG47" si="81">AVERAGE(Q47:AB47)</f>
        <v>31884.938833333337</v>
      </c>
      <c r="AH47" s="22">
        <f t="shared" si="7"/>
        <v>93.122622015180525</v>
      </c>
      <c r="AI47" s="23">
        <f t="shared" si="8"/>
        <v>33.355337104222038</v>
      </c>
      <c r="AJ47" s="23">
        <f t="shared" si="9"/>
        <v>28.705920417504533</v>
      </c>
      <c r="AK47" s="24" t="s">
        <v>147</v>
      </c>
      <c r="AL47" s="22">
        <f t="shared" si="69"/>
        <v>382619.26600000006</v>
      </c>
      <c r="AM47" s="22">
        <f t="shared" si="10"/>
        <v>382.61926600000004</v>
      </c>
      <c r="AN47" s="22">
        <f t="shared" si="11"/>
        <v>31.884938833333337</v>
      </c>
      <c r="AO47" s="34">
        <v>43889</v>
      </c>
      <c r="AP47" s="36">
        <f t="shared" si="26"/>
        <v>55.1</v>
      </c>
      <c r="AQ47" s="22">
        <f t="shared" si="12"/>
        <v>578472.55061115837</v>
      </c>
      <c r="AR47" s="22">
        <f>3640.66*AP47*0.5</f>
        <v>100300.183</v>
      </c>
      <c r="AS47" s="22">
        <f t="shared" si="13"/>
        <v>780588.64365283202</v>
      </c>
      <c r="AT47" s="22">
        <f>((18338.28-235.49-1395.42)/AB47)*1000*AN47*AP47</f>
        <v>1181863.5360160244</v>
      </c>
      <c r="AU47" s="42"/>
    </row>
    <row r="48" spans="1:47" x14ac:dyDescent="0.2">
      <c r="A48" s="17" t="s">
        <v>101</v>
      </c>
      <c r="B48" s="3" t="s">
        <v>102</v>
      </c>
      <c r="C48" s="3" t="s">
        <v>37</v>
      </c>
      <c r="D48" s="18" t="s">
        <v>136</v>
      </c>
      <c r="E48" s="19">
        <v>120</v>
      </c>
      <c r="F48" s="19">
        <v>120</v>
      </c>
      <c r="G48" s="19">
        <f>120</f>
        <v>120</v>
      </c>
      <c r="H48" s="19">
        <f>120</f>
        <v>120</v>
      </c>
      <c r="I48" s="19">
        <v>120</v>
      </c>
      <c r="J48" s="19">
        <v>120</v>
      </c>
      <c r="K48" s="19">
        <v>120</v>
      </c>
      <c r="L48" s="19">
        <v>120</v>
      </c>
      <c r="M48" s="19">
        <v>120</v>
      </c>
      <c r="N48" s="19">
        <v>120</v>
      </c>
      <c r="O48" s="19">
        <v>120</v>
      </c>
      <c r="P48" s="20">
        <v>120</v>
      </c>
      <c r="Q48" s="19">
        <f>3386+19688.4</f>
        <v>23074.400000000001</v>
      </c>
      <c r="R48" s="19">
        <f>3307.2+16388</f>
        <v>19695.2</v>
      </c>
      <c r="S48" s="19">
        <f>3659.4+18181.9</f>
        <v>21841.300000000003</v>
      </c>
      <c r="T48" s="19">
        <f>1725.3+11143.1</f>
        <v>12868.4</v>
      </c>
      <c r="U48" s="19">
        <f>3851.3+17200.7</f>
        <v>21052</v>
      </c>
      <c r="V48" s="19">
        <f>3250.8+17549.3</f>
        <v>20800.099999999999</v>
      </c>
      <c r="W48" s="19">
        <f>4066.8+21593.5</f>
        <v>25660.3</v>
      </c>
      <c r="X48" s="19">
        <f>3016+17100.9</f>
        <v>20116.900000000001</v>
      </c>
      <c r="Y48" s="19">
        <f>2468.4+13769.5</f>
        <v>16237.9</v>
      </c>
      <c r="Z48" s="19">
        <f>2459.8+1801.4+12011.9</f>
        <v>16273.1</v>
      </c>
      <c r="AA48" s="19">
        <f>2172.5+12739.3</f>
        <v>14911.8</v>
      </c>
      <c r="AB48" s="19">
        <v>18442.12</v>
      </c>
      <c r="AC48" s="22">
        <f t="shared" ref="AC48" si="82">MAX(E48:P48)</f>
        <v>120</v>
      </c>
      <c r="AD48" s="22">
        <f t="shared" ref="AD48" si="83">AVERAGE(E48:P48)</f>
        <v>120</v>
      </c>
      <c r="AE48" s="22">
        <f t="shared" si="5"/>
        <v>25660.3</v>
      </c>
      <c r="AF48" s="22">
        <f t="shared" si="6"/>
        <v>12868.4</v>
      </c>
      <c r="AG48" s="22">
        <f t="shared" ref="AG48" si="84">AVERAGE(Q48:AB48)</f>
        <v>19247.793333333331</v>
      </c>
      <c r="AH48" s="22">
        <f t="shared" si="7"/>
        <v>99.405520499829038</v>
      </c>
      <c r="AI48" s="23">
        <f t="shared" si="8"/>
        <v>33.143504935111174</v>
      </c>
      <c r="AJ48" s="23">
        <f t="shared" si="9"/>
        <v>33.315541972084084</v>
      </c>
      <c r="AK48" s="24" t="s">
        <v>148</v>
      </c>
      <c r="AL48" s="22">
        <f t="shared" si="69"/>
        <v>230973.51999999996</v>
      </c>
      <c r="AM48" s="22">
        <f t="shared" si="10"/>
        <v>230.97351999999995</v>
      </c>
      <c r="AN48" s="22">
        <f t="shared" si="11"/>
        <v>19.24779333333333</v>
      </c>
      <c r="AO48" s="34">
        <v>44124</v>
      </c>
      <c r="AP48" s="36">
        <f t="shared" si="26"/>
        <v>47.366666666666667</v>
      </c>
      <c r="AQ48" s="22">
        <f t="shared" si="12"/>
        <v>300192.15529232996</v>
      </c>
      <c r="AR48" s="22">
        <f>1292.39*AP48*0.5</f>
        <v>30608.103166666668</v>
      </c>
      <c r="AS48" s="22">
        <f t="shared" si="13"/>
        <v>380420.29722784611</v>
      </c>
      <c r="AT48" s="22">
        <f>((9852.44-870.34-154.99)/AB48)*1000*AN48*AP48</f>
        <v>436376.61104772234</v>
      </c>
      <c r="AU48" s="42"/>
    </row>
    <row r="49" spans="1:47" x14ac:dyDescent="0.2">
      <c r="A49" s="17" t="s">
        <v>103</v>
      </c>
      <c r="B49" s="3" t="s">
        <v>104</v>
      </c>
      <c r="C49" s="3" t="s">
        <v>37</v>
      </c>
      <c r="D49" s="18" t="s">
        <v>136</v>
      </c>
      <c r="E49" s="19">
        <v>250</v>
      </c>
      <c r="F49" s="19">
        <v>250</v>
      </c>
      <c r="G49" s="19">
        <v>250</v>
      </c>
      <c r="H49" s="19">
        <v>250</v>
      </c>
      <c r="I49" s="19">
        <v>250</v>
      </c>
      <c r="J49" s="19">
        <v>250</v>
      </c>
      <c r="K49" s="19">
        <v>250</v>
      </c>
      <c r="L49" s="19">
        <v>250</v>
      </c>
      <c r="M49" s="19">
        <v>250</v>
      </c>
      <c r="N49" s="19">
        <f>250</f>
        <v>250</v>
      </c>
      <c r="O49" s="19">
        <v>250</v>
      </c>
      <c r="P49" s="19">
        <v>250</v>
      </c>
      <c r="Q49" s="19">
        <f>3070.2+18836.7</f>
        <v>21906.9</v>
      </c>
      <c r="R49" s="19">
        <f>3378.7+17326</f>
        <v>20704.7</v>
      </c>
      <c r="S49" s="19">
        <f>2418.8+12769</f>
        <v>15187.8</v>
      </c>
      <c r="T49" s="19">
        <f>2830.3+15119.7</f>
        <v>17950</v>
      </c>
      <c r="U49" s="19">
        <f>2463.1+13125.2</f>
        <v>15588.300000000001</v>
      </c>
      <c r="V49" s="19">
        <f>3621.6+18762.5</f>
        <v>22384.1</v>
      </c>
      <c r="W49" s="19">
        <f>3327.1+18997.6</f>
        <v>22324.699999999997</v>
      </c>
      <c r="X49" s="19">
        <f>3273.4+17231.2</f>
        <v>20504.600000000002</v>
      </c>
      <c r="Y49" s="19">
        <f>2868.9+17102.5</f>
        <v>19971.400000000001</v>
      </c>
      <c r="Z49" s="19">
        <f>2483.2+14887.5</f>
        <v>17370.7</v>
      </c>
      <c r="AA49" s="19">
        <f>2325.7+14049.6</f>
        <v>16375.3</v>
      </c>
      <c r="AB49" s="19">
        <f>2416.4+15061.9</f>
        <v>17478.3</v>
      </c>
      <c r="AC49" s="22">
        <f t="shared" ref="AC49:AC50" si="85">MAX(E49:P49)</f>
        <v>250</v>
      </c>
      <c r="AD49" s="22">
        <f t="shared" ref="AD49:AD50" si="86">AVERAGE(E49:P49)</f>
        <v>250</v>
      </c>
      <c r="AE49" s="22">
        <f t="shared" si="5"/>
        <v>22384.1</v>
      </c>
      <c r="AF49" s="22">
        <f t="shared" si="6"/>
        <v>15187.8</v>
      </c>
      <c r="AG49" s="22">
        <f t="shared" ref="AG49:AG50" si="87">AVERAGE(Q49:AB49)</f>
        <v>18978.899999999998</v>
      </c>
      <c r="AH49" s="22">
        <f t="shared" si="7"/>
        <v>47.382109324589472</v>
      </c>
      <c r="AI49" s="23">
        <f t="shared" si="8"/>
        <v>19.975341036624876</v>
      </c>
      <c r="AJ49" s="23">
        <f t="shared" si="9"/>
        <v>17.942030360031406</v>
      </c>
      <c r="AK49" s="24" t="s">
        <v>148</v>
      </c>
      <c r="AL49" s="22">
        <f t="shared" si="69"/>
        <v>227746.8</v>
      </c>
      <c r="AM49" s="22">
        <f t="shared" si="10"/>
        <v>227.74679999999998</v>
      </c>
      <c r="AN49" s="22">
        <f t="shared" si="11"/>
        <v>18.978899999999999</v>
      </c>
      <c r="AO49" s="34">
        <v>43952</v>
      </c>
      <c r="AP49" s="36">
        <f t="shared" si="26"/>
        <v>53</v>
      </c>
      <c r="AQ49" s="22">
        <f t="shared" si="12"/>
        <v>331201.63795050001</v>
      </c>
      <c r="AR49" s="22">
        <f>2792.49*AP49*0.5</f>
        <v>74000.985000000001</v>
      </c>
      <c r="AS49" s="22">
        <f t="shared" si="13"/>
        <v>465983.01639307494</v>
      </c>
      <c r="AT49" s="22">
        <f>((12321.18-925.35-148.45)/AB49)*1000*AN49*AP49</f>
        <v>647290.28080225189</v>
      </c>
      <c r="AU49" s="42"/>
    </row>
    <row r="50" spans="1:47" x14ac:dyDescent="0.2">
      <c r="A50" s="17" t="s">
        <v>105</v>
      </c>
      <c r="B50" s="3" t="s">
        <v>106</v>
      </c>
      <c r="C50" s="3" t="s">
        <v>37</v>
      </c>
      <c r="D50" s="18" t="s">
        <v>136</v>
      </c>
      <c r="E50" s="19">
        <v>219.2</v>
      </c>
      <c r="F50" s="19">
        <v>213.2</v>
      </c>
      <c r="G50" s="19">
        <v>210.7</v>
      </c>
      <c r="H50" s="19">
        <v>185.2</v>
      </c>
      <c r="I50" s="19">
        <v>167.8</v>
      </c>
      <c r="J50" s="19">
        <v>222.3</v>
      </c>
      <c r="K50" s="19">
        <v>241.9</v>
      </c>
      <c r="L50" s="19">
        <v>218.7</v>
      </c>
      <c r="M50" s="19">
        <v>205.1</v>
      </c>
      <c r="N50" s="19">
        <v>202.6</v>
      </c>
      <c r="O50" s="19">
        <v>186</v>
      </c>
      <c r="P50" s="19">
        <v>155</v>
      </c>
      <c r="Q50" s="19">
        <f>7825+47747.7</f>
        <v>55572.7</v>
      </c>
      <c r="R50" s="19">
        <f>8618.1+51671</f>
        <v>60289.1</v>
      </c>
      <c r="S50" s="19">
        <f>7489.6+42615.3</f>
        <v>50104.9</v>
      </c>
      <c r="T50" s="19">
        <f>8696.3+45184.2</f>
        <v>53880.5</v>
      </c>
      <c r="U50" s="19">
        <f>4267.4+33680.6</f>
        <v>37948</v>
      </c>
      <c r="V50" s="19">
        <f>9013.7+51129.6</f>
        <v>60143.3</v>
      </c>
      <c r="W50" s="19">
        <f>8403.9+48364.8</f>
        <v>56768.700000000004</v>
      </c>
      <c r="X50" s="19">
        <f>10298.5+57352.8</f>
        <v>67651.3</v>
      </c>
      <c r="Y50" s="19">
        <f>8921.5+54148.1</f>
        <v>63069.599999999999</v>
      </c>
      <c r="Z50" s="19">
        <f>7481.9+44989.6</f>
        <v>52471.5</v>
      </c>
      <c r="AA50" s="19">
        <f>7738.3+48089.4</f>
        <v>55827.700000000004</v>
      </c>
      <c r="AB50" s="19">
        <f>6906.4+42577.1</f>
        <v>49483.5</v>
      </c>
      <c r="AC50" s="22">
        <f t="shared" si="85"/>
        <v>241.9</v>
      </c>
      <c r="AD50" s="22">
        <f t="shared" si="86"/>
        <v>202.30833333333331</v>
      </c>
      <c r="AE50" s="22">
        <f t="shared" si="5"/>
        <v>67651.3</v>
      </c>
      <c r="AF50" s="22">
        <f t="shared" si="6"/>
        <v>37948</v>
      </c>
      <c r="AG50" s="22">
        <f t="shared" si="87"/>
        <v>55267.566666666658</v>
      </c>
      <c r="AH50" s="22">
        <f t="shared" si="7"/>
        <v>78.273690313059987</v>
      </c>
      <c r="AI50" s="23">
        <f t="shared" si="8"/>
        <v>31.337668204438156</v>
      </c>
      <c r="AJ50" s="23">
        <f t="shared" si="9"/>
        <v>22.406872746945641</v>
      </c>
      <c r="AK50" s="24" t="s">
        <v>147</v>
      </c>
      <c r="AL50" s="22">
        <f t="shared" si="69"/>
        <v>663210.79999999993</v>
      </c>
      <c r="AM50" s="22">
        <f t="shared" si="10"/>
        <v>663.21079999999995</v>
      </c>
      <c r="AN50" s="22">
        <f t="shared" si="11"/>
        <v>55.26756666666666</v>
      </c>
      <c r="AO50" s="34">
        <v>43983</v>
      </c>
      <c r="AP50" s="36">
        <f t="shared" si="26"/>
        <v>52</v>
      </c>
      <c r="AQ50" s="22">
        <f t="shared" si="12"/>
        <v>946279.1176019999</v>
      </c>
      <c r="AR50" s="22">
        <f>1731.12*AP50*0.5</f>
        <v>45009.119999999995</v>
      </c>
      <c r="AS50" s="22">
        <f t="shared" si="13"/>
        <v>1139981.4732422999</v>
      </c>
      <c r="AT50" s="22">
        <f>((28443.93-2615.81-424.31)/AB50)*1000*AN50*AP50</f>
        <v>1475407.9978910408</v>
      </c>
      <c r="AU50" s="42"/>
    </row>
    <row r="51" spans="1:47" x14ac:dyDescent="0.2">
      <c r="A51" s="17" t="s">
        <v>107</v>
      </c>
      <c r="B51" s="3" t="s">
        <v>108</v>
      </c>
      <c r="C51" s="3" t="s">
        <v>37</v>
      </c>
      <c r="D51" s="18" t="s">
        <v>136</v>
      </c>
      <c r="E51" s="19">
        <v>700</v>
      </c>
      <c r="F51" s="19">
        <v>700</v>
      </c>
      <c r="G51" s="19">
        <v>700</v>
      </c>
      <c r="H51" s="19">
        <v>700</v>
      </c>
      <c r="I51" s="19">
        <v>700</v>
      </c>
      <c r="J51" s="19">
        <v>700</v>
      </c>
      <c r="K51" s="19">
        <v>700</v>
      </c>
      <c r="L51" s="19">
        <v>700</v>
      </c>
      <c r="M51" s="19">
        <v>700</v>
      </c>
      <c r="N51" s="19">
        <v>700</v>
      </c>
      <c r="O51" s="19">
        <v>700</v>
      </c>
      <c r="P51" s="19">
        <v>700</v>
      </c>
      <c r="Q51" s="19">
        <f>16585.6+147568.6</f>
        <v>164154.20000000001</v>
      </c>
      <c r="R51" s="19">
        <f>16607.9+152415.4</f>
        <v>169023.3</v>
      </c>
      <c r="S51" s="19">
        <f>13009.7+145416.6</f>
        <v>158426.30000000002</v>
      </c>
      <c r="T51" s="19">
        <f>15416.6+167765.5</f>
        <v>183182.1</v>
      </c>
      <c r="U51" s="19">
        <f>13063.3+138811.7</f>
        <v>151875</v>
      </c>
      <c r="V51" s="19">
        <f>16213.9+163712</f>
        <v>179925.9</v>
      </c>
      <c r="W51" s="19">
        <f>17153.9+148585.2</f>
        <v>165739.1</v>
      </c>
      <c r="X51" s="19">
        <f>16987.3+151474.2</f>
        <v>168461.5</v>
      </c>
      <c r="Y51" s="19">
        <f>16866.1+145402.9</f>
        <v>162269</v>
      </c>
      <c r="Z51" s="19">
        <f>14936.8+126720.5</f>
        <v>141657.29999999999</v>
      </c>
      <c r="AA51" s="19">
        <f>14304.1+126713.2</f>
        <v>141017.29999999999</v>
      </c>
      <c r="AB51" s="19">
        <f>15234.7+127410.5</f>
        <v>142645.20000000001</v>
      </c>
      <c r="AC51" s="22">
        <f t="shared" ref="AC51" si="88">MAX(E51:P51)</f>
        <v>700</v>
      </c>
      <c r="AD51" s="22">
        <f t="shared" ref="AD51" si="89">AVERAGE(E51:P51)</f>
        <v>700</v>
      </c>
      <c r="AE51" s="22">
        <f t="shared" si="5"/>
        <v>183182.1</v>
      </c>
      <c r="AF51" s="22">
        <f t="shared" si="6"/>
        <v>141017.29999999999</v>
      </c>
      <c r="AG51" s="22">
        <f t="shared" ref="AG51" si="90">AVERAGE(Q51:AB51)</f>
        <v>160698.01666666669</v>
      </c>
      <c r="AH51" s="22">
        <f t="shared" si="7"/>
        <v>29.900444839037494</v>
      </c>
      <c r="AI51" s="23">
        <f t="shared" si="8"/>
        <v>12.247019020458788</v>
      </c>
      <c r="AJ51" s="23">
        <f t="shared" si="9"/>
        <v>13.991512651939997</v>
      </c>
      <c r="AK51" s="24" t="s">
        <v>147</v>
      </c>
      <c r="AL51" s="22">
        <f t="shared" si="69"/>
        <v>1928376.2000000002</v>
      </c>
      <c r="AM51" s="22">
        <f t="shared" si="10"/>
        <v>1928.3762000000002</v>
      </c>
      <c r="AN51" s="22">
        <f t="shared" si="11"/>
        <v>160.69801666666669</v>
      </c>
      <c r="AO51" s="34">
        <v>44075</v>
      </c>
      <c r="AP51" s="36">
        <f t="shared" si="26"/>
        <v>49</v>
      </c>
      <c r="AQ51" s="22">
        <f t="shared" si="12"/>
        <v>2592699.3904297506</v>
      </c>
      <c r="AR51" s="22">
        <f>14027.99*AP51*0.5</f>
        <v>343685.755</v>
      </c>
      <c r="AS51" s="22">
        <f t="shared" si="13"/>
        <v>3376842.9172442127</v>
      </c>
      <c r="AT51" s="22">
        <f>((83728.39-866.13-99.51-3650.68-427.15)/AB51)*1000*AN51*AP51</f>
        <v>4343511.1640152736</v>
      </c>
      <c r="AU51" s="42"/>
    </row>
    <row r="52" spans="1:47" x14ac:dyDescent="0.2">
      <c r="A52" s="17" t="s">
        <v>109</v>
      </c>
      <c r="B52" s="3" t="s">
        <v>110</v>
      </c>
      <c r="C52" s="3" t="s">
        <v>55</v>
      </c>
      <c r="D52" s="18" t="s">
        <v>136</v>
      </c>
      <c r="E52" s="19">
        <v>112.5</v>
      </c>
      <c r="F52" s="19">
        <v>112.5</v>
      </c>
      <c r="G52" s="19">
        <v>112.5</v>
      </c>
      <c r="H52" s="19">
        <v>112.5</v>
      </c>
      <c r="I52" s="19">
        <v>112.5</v>
      </c>
      <c r="J52" s="19">
        <v>112.5</v>
      </c>
      <c r="K52" s="19">
        <v>112.5</v>
      </c>
      <c r="L52" s="19">
        <v>112.5</v>
      </c>
      <c r="M52" s="19">
        <v>112.5</v>
      </c>
      <c r="N52" s="19">
        <v>112.5</v>
      </c>
      <c r="O52" s="19">
        <v>112.5</v>
      </c>
      <c r="P52" s="19">
        <v>112.5</v>
      </c>
      <c r="Q52" s="19">
        <f>1040+6708</f>
        <v>7748</v>
      </c>
      <c r="R52" s="19">
        <f>1241+6069</f>
        <v>7310</v>
      </c>
      <c r="S52" s="19">
        <f>1289+6409</f>
        <v>7698</v>
      </c>
      <c r="T52" s="19">
        <f>702+4520</f>
        <v>5222</v>
      </c>
      <c r="U52" s="19">
        <f>1053+5453</f>
        <v>6506</v>
      </c>
      <c r="V52" s="19">
        <f>1010+5979</f>
        <v>6989</v>
      </c>
      <c r="W52" s="19">
        <f>1003+6421</f>
        <v>7424</v>
      </c>
      <c r="X52" s="19">
        <f>895+5980</f>
        <v>6875</v>
      </c>
      <c r="Y52" s="19">
        <f>1031+5963</f>
        <v>6994</v>
      </c>
      <c r="Z52" s="19">
        <f>813+4968</f>
        <v>5781</v>
      </c>
      <c r="AA52" s="19">
        <f>747+4727</f>
        <v>5474</v>
      </c>
      <c r="AB52" s="19">
        <f>912+6094</f>
        <v>7006</v>
      </c>
      <c r="AC52" s="22">
        <f t="shared" ref="AC52" si="91">MAX(E52:P52)</f>
        <v>112.5</v>
      </c>
      <c r="AD52" s="22">
        <f t="shared" ref="AD52" si="92">AVERAGE(E52:P52)</f>
        <v>112.5</v>
      </c>
      <c r="AE52" s="22">
        <f t="shared" si="5"/>
        <v>7748</v>
      </c>
      <c r="AF52" s="22">
        <f t="shared" si="6"/>
        <v>5222</v>
      </c>
      <c r="AG52" s="22">
        <f t="shared" ref="AG52" si="93">AVERAGE(Q52:AB52)</f>
        <v>6752.25</v>
      </c>
      <c r="AH52" s="22">
        <f t="shared" si="7"/>
        <v>48.372271160474909</v>
      </c>
      <c r="AI52" s="23">
        <f t="shared" si="8"/>
        <v>22.66281609833759</v>
      </c>
      <c r="AJ52" s="23">
        <f t="shared" si="9"/>
        <v>14.746936206449702</v>
      </c>
      <c r="AK52" s="24" t="s">
        <v>148</v>
      </c>
      <c r="AL52" s="22">
        <f t="shared" si="69"/>
        <v>81027</v>
      </c>
      <c r="AM52" s="22">
        <f t="shared" si="10"/>
        <v>81.027000000000001</v>
      </c>
      <c r="AN52" s="22">
        <f t="shared" si="11"/>
        <v>6.7522500000000001</v>
      </c>
      <c r="AO52" s="34">
        <v>43922</v>
      </c>
      <c r="AP52" s="36">
        <f t="shared" si="26"/>
        <v>54</v>
      </c>
      <c r="AQ52" s="22">
        <f t="shared" si="12"/>
        <v>120057.09819750002</v>
      </c>
      <c r="AR52" s="22">
        <f>1856.25*AP52*0.5</f>
        <v>50118.75</v>
      </c>
      <c r="AS52" s="22">
        <f t="shared" si="13"/>
        <v>195702.225427125</v>
      </c>
      <c r="AT52" s="22">
        <f>((5519.46-370.64)/AB52)*1000*AN52*AP52</f>
        <v>267966.09643591207</v>
      </c>
      <c r="AU52" s="42"/>
    </row>
    <row r="53" spans="1:47" x14ac:dyDescent="0.2">
      <c r="A53" s="17" t="s">
        <v>111</v>
      </c>
      <c r="B53" s="3" t="s">
        <v>112</v>
      </c>
      <c r="C53" s="3" t="s">
        <v>44</v>
      </c>
      <c r="D53" s="18" t="s">
        <v>136</v>
      </c>
      <c r="E53" s="19">
        <v>141.89279999999999</v>
      </c>
      <c r="F53" s="19">
        <v>139.62960000000001</v>
      </c>
      <c r="G53" s="19">
        <v>133.2336</v>
      </c>
      <c r="H53" s="19">
        <v>120</v>
      </c>
      <c r="I53" s="19">
        <v>138.05520000000001</v>
      </c>
      <c r="J53" s="19">
        <v>143.95920000000001</v>
      </c>
      <c r="K53" s="19">
        <v>147.5016</v>
      </c>
      <c r="L53" s="19">
        <v>123.29519999999999</v>
      </c>
      <c r="M53" s="19">
        <v>120</v>
      </c>
      <c r="N53" s="19">
        <v>120</v>
      </c>
      <c r="O53" s="20">
        <v>120</v>
      </c>
      <c r="P53" s="19">
        <v>120</v>
      </c>
      <c r="Q53" s="19">
        <f>6168.7698+26969.7426+7505.706</f>
        <v>40644.218399999998</v>
      </c>
      <c r="R53" s="19">
        <f>4771.6866+20984.292+6004.9092</f>
        <v>31760.887800000004</v>
      </c>
      <c r="S53" s="19">
        <f>5966.5332+26254.842+7584.2784</f>
        <v>39805.653600000005</v>
      </c>
      <c r="T53" s="19">
        <f>2565.3126+13209.7326+5196.3072</f>
        <v>20971.3524</v>
      </c>
      <c r="U53" s="19">
        <f>5312.7882+21164.0934+5965.6476</f>
        <v>32442.529200000001</v>
      </c>
      <c r="V53" s="19">
        <f>5485.4064+25419.057+6719.4408</f>
        <v>37623.904200000004</v>
      </c>
      <c r="W53" s="19">
        <f>5867.0754+25813.6656+5956.4718</f>
        <v>37637.212800000001</v>
      </c>
      <c r="X53" s="19">
        <f>5223.81+23093.9634+6123.5304</f>
        <v>34441.303800000002</v>
      </c>
      <c r="Y53" s="19">
        <f>4573.5828+19607.6268+5769.2166</f>
        <v>29950.426199999998</v>
      </c>
      <c r="Z53" s="19">
        <f>3964.1178+17451.0186+5304.2766</f>
        <v>26719.413</v>
      </c>
      <c r="AA53" s="19">
        <v>30406.9</v>
      </c>
      <c r="AB53" s="19">
        <f>4370.436+20278.4196+5758.4196</f>
        <v>30407.275200000004</v>
      </c>
      <c r="AC53" s="22">
        <f t="shared" ref="AC53:AC56" si="94">MAX(E53:P53)</f>
        <v>147.5016</v>
      </c>
      <c r="AD53" s="22">
        <f t="shared" ref="AD53:AD56" si="95">AVERAGE(E53:P53)</f>
        <v>130.63059999999999</v>
      </c>
      <c r="AE53" s="22">
        <f t="shared" si="5"/>
        <v>40644.218399999998</v>
      </c>
      <c r="AF53" s="22">
        <f t="shared" si="6"/>
        <v>20971.3524</v>
      </c>
      <c r="AG53" s="22">
        <f t="shared" ref="AG53:AG56" si="96">AVERAGE(Q53:AB53)</f>
        <v>32734.256383333337</v>
      </c>
      <c r="AH53" s="22">
        <f t="shared" si="7"/>
        <v>93.808284867694084</v>
      </c>
      <c r="AI53" s="23">
        <f t="shared" si="8"/>
        <v>35.934538562856815</v>
      </c>
      <c r="AJ53" s="23">
        <f t="shared" si="9"/>
        <v>24.164172003901154</v>
      </c>
      <c r="AK53" s="24" t="s">
        <v>148</v>
      </c>
      <c r="AL53" s="22">
        <f t="shared" si="69"/>
        <v>392811.07660000003</v>
      </c>
      <c r="AM53" s="22">
        <f t="shared" si="10"/>
        <v>392.81107660000004</v>
      </c>
      <c r="AN53" s="22">
        <f t="shared" si="11"/>
        <v>32.734256383333339</v>
      </c>
      <c r="AO53" s="34">
        <v>43862</v>
      </c>
      <c r="AP53" s="36">
        <f t="shared" si="26"/>
        <v>56</v>
      </c>
      <c r="AQ53" s="22">
        <f t="shared" si="12"/>
        <v>603581.71597126208</v>
      </c>
      <c r="AR53" s="22">
        <f>1686.07*AP53*0.5</f>
        <v>47209.96</v>
      </c>
      <c r="AS53" s="22">
        <f t="shared" si="13"/>
        <v>748410.42736695125</v>
      </c>
      <c r="AT53" s="22">
        <f>((19360.68-1985.3)/AB53)*1000*AN53*AP53</f>
        <v>1047483.7957844764</v>
      </c>
      <c r="AU53" s="42"/>
    </row>
    <row r="54" spans="1:47" x14ac:dyDescent="0.2">
      <c r="A54" s="17" t="s">
        <v>113</v>
      </c>
      <c r="B54" s="3" t="s">
        <v>114</v>
      </c>
      <c r="C54" s="3" t="s">
        <v>23</v>
      </c>
      <c r="D54" s="18" t="s">
        <v>136</v>
      </c>
      <c r="E54" s="19">
        <v>200</v>
      </c>
      <c r="F54" s="19">
        <v>200</v>
      </c>
      <c r="G54" s="19">
        <f>200</f>
        <v>200</v>
      </c>
      <c r="H54" s="19">
        <v>200</v>
      </c>
      <c r="I54" s="19">
        <v>200</v>
      </c>
      <c r="J54" s="19">
        <v>200</v>
      </c>
      <c r="K54" s="19">
        <v>200</v>
      </c>
      <c r="L54" s="19">
        <f>200</f>
        <v>200</v>
      </c>
      <c r="M54" s="20">
        <v>200</v>
      </c>
      <c r="N54" s="19">
        <v>200</v>
      </c>
      <c r="O54" s="19">
        <f>200</f>
        <v>200</v>
      </c>
      <c r="P54" s="19">
        <v>200</v>
      </c>
      <c r="Q54" s="19">
        <f>5476.218+24265.476</f>
        <v>29741.694</v>
      </c>
      <c r="R54" s="19">
        <f>6249.826+26693.091</f>
        <v>32942.917000000001</v>
      </c>
      <c r="S54" s="19">
        <f>6086.765+26427.152</f>
        <v>32513.916999999998</v>
      </c>
      <c r="T54" s="19">
        <f>3042.036+17502.863</f>
        <v>20544.899000000001</v>
      </c>
      <c r="U54" s="19">
        <f>5084.34+22314.832</f>
        <v>27399.171999999999</v>
      </c>
      <c r="V54" s="19">
        <f>5427.116+24912.37</f>
        <v>30339.485999999997</v>
      </c>
      <c r="W54" s="19">
        <f>5737.507+26338.297</f>
        <v>32075.803999999996</v>
      </c>
      <c r="X54" s="19">
        <f>5159.099+23812.086</f>
        <v>28971.184999999998</v>
      </c>
      <c r="Y54" s="19">
        <v>22945.01</v>
      </c>
      <c r="Z54" s="19">
        <f>4063.833+18094.763</f>
        <v>22158.595999999998</v>
      </c>
      <c r="AA54" s="19">
        <f>3169.414+15881.981</f>
        <v>19051.395</v>
      </c>
      <c r="AB54" s="19">
        <f>3909.481+20323.683</f>
        <v>24233.164000000001</v>
      </c>
      <c r="AC54" s="22">
        <f t="shared" si="94"/>
        <v>200</v>
      </c>
      <c r="AD54" s="22">
        <f t="shared" si="95"/>
        <v>200</v>
      </c>
      <c r="AE54" s="22">
        <f t="shared" si="5"/>
        <v>32942.917000000001</v>
      </c>
      <c r="AF54" s="22">
        <f t="shared" si="6"/>
        <v>19051.395</v>
      </c>
      <c r="AG54" s="22">
        <f t="shared" si="96"/>
        <v>26909.769916666672</v>
      </c>
      <c r="AH54" s="22">
        <f t="shared" si="7"/>
        <v>72.916035807351648</v>
      </c>
      <c r="AI54" s="23">
        <f t="shared" si="8"/>
        <v>29.202683415734281</v>
      </c>
      <c r="AJ54" s="23">
        <f t="shared" si="9"/>
        <v>22.419913295493011</v>
      </c>
      <c r="AK54" s="24" t="s">
        <v>148</v>
      </c>
      <c r="AL54" s="22">
        <f t="shared" si="69"/>
        <v>322917.23900000006</v>
      </c>
      <c r="AM54" s="22">
        <f t="shared" si="10"/>
        <v>322.91723900000005</v>
      </c>
      <c r="AN54" s="22">
        <f t="shared" si="11"/>
        <v>26.909769916666672</v>
      </c>
      <c r="AO54" s="34">
        <v>43956</v>
      </c>
      <c r="AP54" s="36">
        <f t="shared" si="26"/>
        <v>52.866666666666667</v>
      </c>
      <c r="AQ54" s="22">
        <f t="shared" si="12"/>
        <v>468422.21303651488</v>
      </c>
      <c r="AR54" s="22">
        <f>2558.14*AP54*0.5</f>
        <v>67620.167333333331</v>
      </c>
      <c r="AS54" s="22">
        <f t="shared" si="13"/>
        <v>616448.73742532544</v>
      </c>
      <c r="AT54" s="22">
        <f>((14927.75-207.1-1037.76)/AB54)*1000*AN54*AP54</f>
        <v>803266.44759548514</v>
      </c>
      <c r="AU54" s="42"/>
    </row>
    <row r="55" spans="1:47" x14ac:dyDescent="0.2">
      <c r="A55" s="17" t="s">
        <v>115</v>
      </c>
      <c r="B55" s="3" t="s">
        <v>116</v>
      </c>
      <c r="C55" s="3" t="s">
        <v>37</v>
      </c>
      <c r="D55" s="18" t="s">
        <v>136</v>
      </c>
      <c r="E55" s="26"/>
      <c r="F55" s="26"/>
      <c r="G55" s="26"/>
      <c r="H55" s="26"/>
      <c r="I55" s="19">
        <f>600</f>
        <v>600</v>
      </c>
      <c r="J55" s="19">
        <v>600</v>
      </c>
      <c r="K55" s="19">
        <v>609.79999999999995</v>
      </c>
      <c r="L55" s="19">
        <v>600</v>
      </c>
      <c r="M55" s="19">
        <f>600</f>
        <v>600</v>
      </c>
      <c r="N55" s="19">
        <v>600</v>
      </c>
      <c r="O55" s="19">
        <v>600</v>
      </c>
      <c r="P55" s="19">
        <v>600</v>
      </c>
      <c r="Q55" s="26"/>
      <c r="R55" s="26"/>
      <c r="S55" s="26"/>
      <c r="T55" s="26"/>
      <c r="U55" s="19">
        <f>12529.4+98366.9</f>
        <v>110896.29999999999</v>
      </c>
      <c r="V55" s="19">
        <f>11725.1+94335.4</f>
        <v>106060.5</v>
      </c>
      <c r="W55" s="19">
        <f>15159.1+105666.5</f>
        <v>120825.60000000001</v>
      </c>
      <c r="X55" s="19">
        <f>15964.2+105401.9</f>
        <v>121366.09999999999</v>
      </c>
      <c r="Y55" s="19">
        <f>16410.7+109686.8</f>
        <v>126097.5</v>
      </c>
      <c r="Z55" s="19">
        <f>13968.8+86922.8</f>
        <v>100891.6</v>
      </c>
      <c r="AA55" s="19">
        <f>15130.5+96557.2</f>
        <v>111687.7</v>
      </c>
      <c r="AB55" s="19">
        <f>13456.8+86262.1</f>
        <v>99718.900000000009</v>
      </c>
      <c r="AC55" s="22">
        <f>MAX(I55:P55)</f>
        <v>609.79999999999995</v>
      </c>
      <c r="AD55" s="22">
        <f>AVERAGE(I55:P55)</f>
        <v>601.22500000000002</v>
      </c>
      <c r="AE55" s="22">
        <f t="shared" si="5"/>
        <v>126097.5</v>
      </c>
      <c r="AF55" s="22">
        <f t="shared" si="6"/>
        <v>99718.900000000009</v>
      </c>
      <c r="AG55" s="22">
        <f>AVERAGE(U55:AB55)</f>
        <v>112193.02499999999</v>
      </c>
      <c r="AH55" s="22">
        <f t="shared" si="7"/>
        <v>26.452959268503751</v>
      </c>
      <c r="AI55" s="23">
        <f t="shared" si="8"/>
        <v>11.118449654067163</v>
      </c>
      <c r="AJ55" s="23">
        <f t="shared" si="9"/>
        <v>12.393350656157107</v>
      </c>
      <c r="AK55" s="24" t="s">
        <v>147</v>
      </c>
      <c r="AL55" s="22">
        <f t="shared" si="69"/>
        <v>897544.2</v>
      </c>
      <c r="AM55" s="22">
        <f t="shared" si="10"/>
        <v>897.54419999999993</v>
      </c>
      <c r="AN55" s="22">
        <f t="shared" si="11"/>
        <v>74.795349999999999</v>
      </c>
      <c r="AO55" s="34">
        <v>43831</v>
      </c>
      <c r="AP55" s="36">
        <f t="shared" si="26"/>
        <v>57</v>
      </c>
      <c r="AQ55" s="22">
        <f t="shared" si="12"/>
        <v>1403766.9823117501</v>
      </c>
      <c r="AR55" s="22">
        <f>8269.51*AP55*0.5</f>
        <v>235681.035</v>
      </c>
      <c r="AS55" s="22">
        <f t="shared" si="13"/>
        <v>1885365.2199085124</v>
      </c>
      <c r="AT55" s="22">
        <f>((64851.38-5299.7-826.75)/AB55)*1000*AN55*AP55</f>
        <v>2510698.0372357043</v>
      </c>
      <c r="AU55" s="42"/>
    </row>
    <row r="56" spans="1:47" x14ac:dyDescent="0.2">
      <c r="A56" s="17" t="s">
        <v>117</v>
      </c>
      <c r="B56" s="3" t="s">
        <v>118</v>
      </c>
      <c r="C56" s="3" t="s">
        <v>73</v>
      </c>
      <c r="D56" s="18" t="s">
        <v>136</v>
      </c>
      <c r="E56" s="19">
        <v>500</v>
      </c>
      <c r="F56" s="19">
        <v>500</v>
      </c>
      <c r="G56" s="20">
        <v>500</v>
      </c>
      <c r="H56" s="19">
        <v>500</v>
      </c>
      <c r="I56" s="19">
        <v>500</v>
      </c>
      <c r="J56" s="19">
        <v>500</v>
      </c>
      <c r="K56" s="19">
        <v>500</v>
      </c>
      <c r="L56" s="19">
        <v>500</v>
      </c>
      <c r="M56" s="19">
        <v>500</v>
      </c>
      <c r="N56" s="19">
        <v>500</v>
      </c>
      <c r="O56" s="19">
        <v>500</v>
      </c>
      <c r="P56" s="19">
        <v>500</v>
      </c>
      <c r="Q56" s="19">
        <f>7632+39200.4</f>
        <v>46832.4</v>
      </c>
      <c r="R56" s="19">
        <f>8013.6+39978</f>
        <v>47991.6</v>
      </c>
      <c r="S56" s="19">
        <v>45288</v>
      </c>
      <c r="T56" s="19">
        <f>8496+43128</f>
        <v>51624</v>
      </c>
      <c r="U56" s="19">
        <f>4366.8+27846</f>
        <v>32212.799999999999</v>
      </c>
      <c r="V56" s="19">
        <f>7405.2+39970.8</f>
        <v>47376</v>
      </c>
      <c r="W56" s="19">
        <f>9363.6+48376.8</f>
        <v>57740.4</v>
      </c>
      <c r="X56" s="19">
        <f>7981.2+41680.8</f>
        <v>49662</v>
      </c>
      <c r="Y56" s="19">
        <f>6419+34142</f>
        <v>40561</v>
      </c>
      <c r="Z56" s="19">
        <f>5518.8+31359.6</f>
        <v>36878.400000000001</v>
      </c>
      <c r="AA56" s="19">
        <f>5295.6+28616.4</f>
        <v>33912</v>
      </c>
      <c r="AB56" s="19">
        <f>5409.252+31891.572</f>
        <v>37300.824000000001</v>
      </c>
      <c r="AC56" s="22">
        <f t="shared" si="94"/>
        <v>500</v>
      </c>
      <c r="AD56" s="22">
        <f t="shared" si="95"/>
        <v>500</v>
      </c>
      <c r="AE56" s="22">
        <f t="shared" si="5"/>
        <v>57740.4</v>
      </c>
      <c r="AF56" s="22">
        <f t="shared" si="6"/>
        <v>32212.799999999999</v>
      </c>
      <c r="AG56" s="22">
        <f t="shared" si="96"/>
        <v>43948.285333333333</v>
      </c>
      <c r="AH56" s="22">
        <f t="shared" si="7"/>
        <v>79.246759052302195</v>
      </c>
      <c r="AI56" s="23">
        <f t="shared" si="8"/>
        <v>26.702942434098453</v>
      </c>
      <c r="AJ56" s="23">
        <f t="shared" si="9"/>
        <v>31.382600167578783</v>
      </c>
      <c r="AK56" s="24" t="s">
        <v>147</v>
      </c>
      <c r="AL56" s="22">
        <f t="shared" si="69"/>
        <v>527379.424</v>
      </c>
      <c r="AM56" s="22">
        <f t="shared" si="10"/>
        <v>527.37942399999997</v>
      </c>
      <c r="AN56" s="22">
        <f t="shared" si="11"/>
        <v>43.948285333333331</v>
      </c>
      <c r="AO56" s="34">
        <v>44004</v>
      </c>
      <c r="AP56" s="36">
        <f t="shared" si="26"/>
        <v>51.3</v>
      </c>
      <c r="AQ56" s="22">
        <f t="shared" si="12"/>
        <v>742343.43033536396</v>
      </c>
      <c r="AR56" s="22">
        <f>6501.18*AP56*0.5</f>
        <v>166755.26699999999</v>
      </c>
      <c r="AS56" s="22">
        <f t="shared" si="13"/>
        <v>1045463.5019356684</v>
      </c>
      <c r="AT56" s="22">
        <f>((26642.21-355.21-2094.26)/AB56)*1000*AN56*AP56</f>
        <v>1462264.4877342926</v>
      </c>
      <c r="AU56" s="42"/>
    </row>
    <row r="57" spans="1:47" x14ac:dyDescent="0.2">
      <c r="A57" s="17" t="s">
        <v>119</v>
      </c>
      <c r="B57" s="3" t="s">
        <v>120</v>
      </c>
      <c r="C57" s="3" t="s">
        <v>37</v>
      </c>
      <c r="D57" s="18" t="s">
        <v>136</v>
      </c>
      <c r="E57" s="19">
        <v>120</v>
      </c>
      <c r="F57" s="20">
        <v>120</v>
      </c>
      <c r="G57" s="19">
        <v>120</v>
      </c>
      <c r="H57" s="19">
        <v>120</v>
      </c>
      <c r="I57" s="19">
        <v>120</v>
      </c>
      <c r="J57" s="19">
        <v>120</v>
      </c>
      <c r="K57" s="19">
        <v>120</v>
      </c>
      <c r="L57" s="19">
        <v>120</v>
      </c>
      <c r="M57" s="19">
        <v>120</v>
      </c>
      <c r="N57" s="19">
        <v>120</v>
      </c>
      <c r="O57" s="19">
        <v>120</v>
      </c>
      <c r="P57" s="19">
        <v>120</v>
      </c>
      <c r="Q57" s="19">
        <f>2210.5+12461.4</f>
        <v>14671.9</v>
      </c>
      <c r="R57" s="19">
        <v>16554.7</v>
      </c>
      <c r="S57" s="19">
        <f>1947.9+11179.4</f>
        <v>13127.3</v>
      </c>
      <c r="T57" s="19">
        <f>2224.8+13613.7</f>
        <v>15838.5</v>
      </c>
      <c r="U57" s="19">
        <f>997.1+7682.2</f>
        <v>8679.2999999999993</v>
      </c>
      <c r="V57" s="19">
        <f>2661+13803.7</f>
        <v>16464.7</v>
      </c>
      <c r="W57" s="19">
        <f>2137.6+12723.4</f>
        <v>14861</v>
      </c>
      <c r="X57" s="19">
        <f>2757.3+14580.7</f>
        <v>17338</v>
      </c>
      <c r="Y57" s="19">
        <f>2347.3+12914</f>
        <v>15261.3</v>
      </c>
      <c r="Z57" s="19">
        <f>1790.1+11245.4</f>
        <v>13035.5</v>
      </c>
      <c r="AA57" s="19">
        <f>1898.8+10966.2</f>
        <v>12865</v>
      </c>
      <c r="AB57" s="19">
        <f>1687.8+10854.7</f>
        <v>12542.5</v>
      </c>
      <c r="AC57" s="22">
        <f t="shared" ref="AC57" si="97">MAX(E57:P57)</f>
        <v>120</v>
      </c>
      <c r="AD57" s="22">
        <f t="shared" ref="AD57" si="98">AVERAGE(E57:P57)</f>
        <v>120</v>
      </c>
      <c r="AE57" s="22">
        <f t="shared" si="5"/>
        <v>17338</v>
      </c>
      <c r="AF57" s="22">
        <f t="shared" si="6"/>
        <v>8679.2999999999993</v>
      </c>
      <c r="AG57" s="22">
        <f t="shared" ref="AG57" si="99">AVERAGE(Q57:AB57)</f>
        <v>14269.974999999999</v>
      </c>
      <c r="AH57" s="22">
        <f t="shared" si="7"/>
        <v>99.762653670226882</v>
      </c>
      <c r="AI57" s="23">
        <f t="shared" si="8"/>
        <v>39.177889239469579</v>
      </c>
      <c r="AJ57" s="23">
        <f t="shared" si="9"/>
        <v>21.499862473480171</v>
      </c>
      <c r="AK57" s="24" t="s">
        <v>148</v>
      </c>
      <c r="AL57" s="22">
        <f t="shared" si="69"/>
        <v>171239.69999999998</v>
      </c>
      <c r="AM57" s="22">
        <f t="shared" si="10"/>
        <v>171.23969999999997</v>
      </c>
      <c r="AN57" s="22">
        <f t="shared" si="11"/>
        <v>14.269974999999997</v>
      </c>
      <c r="AO57" s="34">
        <v>44013</v>
      </c>
      <c r="AP57" s="36">
        <f t="shared" si="26"/>
        <v>51</v>
      </c>
      <c r="AQ57" s="22">
        <f t="shared" si="12"/>
        <v>239628.76923712494</v>
      </c>
      <c r="AR57" s="22">
        <f>1340.4*AP57*0.5</f>
        <v>34180.200000000004</v>
      </c>
      <c r="AS57" s="22">
        <f t="shared" si="13"/>
        <v>314880.3146226937</v>
      </c>
      <c r="AT57" s="22">
        <f>((8182.2-666.87-103.68)/AB57)*1000*AN57*AP57</f>
        <v>430055.17804634233</v>
      </c>
      <c r="AU57" s="42"/>
    </row>
    <row r="58" spans="1:47" x14ac:dyDescent="0.2">
      <c r="A58" s="17" t="s">
        <v>121</v>
      </c>
      <c r="B58" s="3" t="s">
        <v>45</v>
      </c>
      <c r="C58" s="3" t="s">
        <v>44</v>
      </c>
      <c r="D58" s="18" t="s">
        <v>136</v>
      </c>
      <c r="E58" s="19">
        <v>129.36320000000001</v>
      </c>
      <c r="F58" s="19">
        <v>108.3712</v>
      </c>
      <c r="G58" s="19">
        <v>105.4192</v>
      </c>
      <c r="H58" s="19">
        <v>86.132800000000003</v>
      </c>
      <c r="I58" s="20">
        <v>94.42</v>
      </c>
      <c r="J58" s="19">
        <v>106.2064</v>
      </c>
      <c r="K58" s="19">
        <f>123.7872</f>
        <v>123.7872</v>
      </c>
      <c r="L58" s="19">
        <v>84.623999999999995</v>
      </c>
      <c r="M58" s="19">
        <v>80</v>
      </c>
      <c r="N58" s="19">
        <v>80</v>
      </c>
      <c r="O58" s="19">
        <v>80</v>
      </c>
      <c r="P58" s="19">
        <v>87.756</v>
      </c>
      <c r="Q58" s="19">
        <f>3756.4528+17357.186+2928.6628</f>
        <v>24042.301599999999</v>
      </c>
      <c r="R58" s="19">
        <f>3216.7944+12810.5484+2543.312</f>
        <v>18570.6548</v>
      </c>
      <c r="S58" s="19">
        <f>3380.4008+16296.2864+2767.9756</f>
        <v>22444.662800000002</v>
      </c>
      <c r="T58" s="19">
        <f>1554.7692+9036.3344+2175.3124</f>
        <v>12766.416000000001</v>
      </c>
      <c r="U58" s="19">
        <v>12198.65</v>
      </c>
      <c r="V58" s="19">
        <f>3627.352+16402.7388+2807.7784</f>
        <v>22837.869199999997</v>
      </c>
      <c r="W58" s="19">
        <f>3861.9212+15683.6644+2315.434</f>
        <v>21861.0196</v>
      </c>
      <c r="X58" s="19">
        <f>3225.8472+14191.986+2720.514</f>
        <v>20138.3472</v>
      </c>
      <c r="Y58" s="19">
        <f>2673.8232+11611.3968</f>
        <v>14285.220000000001</v>
      </c>
      <c r="Z58" s="19">
        <f>2517.1704+10425.6112</f>
        <v>12942.781599999998</v>
      </c>
      <c r="AA58" s="19">
        <f>2569.1256+10978.7504</f>
        <v>13547.876</v>
      </c>
      <c r="AB58" s="19">
        <f>2735.5364+12679.4304</f>
        <v>15414.966799999998</v>
      </c>
      <c r="AC58" s="22">
        <f t="shared" ref="AC58:AC59" si="100">MAX(E58:P58)</f>
        <v>129.36320000000001</v>
      </c>
      <c r="AD58" s="22">
        <f t="shared" ref="AD58:AD59" si="101">AVERAGE(E58:P58)</f>
        <v>97.173333333333346</v>
      </c>
      <c r="AE58" s="22">
        <f t="shared" si="5"/>
        <v>24042.301599999999</v>
      </c>
      <c r="AF58" s="22">
        <f t="shared" si="6"/>
        <v>12198.65</v>
      </c>
      <c r="AG58" s="22">
        <f t="shared" ref="AG58:AG59" si="102">AVERAGE(Q58:AB58)</f>
        <v>17587.563799999996</v>
      </c>
      <c r="AH58" s="22">
        <f t="shared" si="7"/>
        <v>97.089855024941286</v>
      </c>
      <c r="AI58" s="23">
        <f t="shared" si="8"/>
        <v>30.640479041218878</v>
      </c>
      <c r="AJ58" s="23">
        <f t="shared" si="9"/>
        <v>36.700579303655481</v>
      </c>
      <c r="AK58" s="24" t="s">
        <v>148</v>
      </c>
      <c r="AL58" s="22">
        <f t="shared" si="69"/>
        <v>211050.76559999996</v>
      </c>
      <c r="AM58" s="22">
        <f t="shared" si="10"/>
        <v>211.05076559999995</v>
      </c>
      <c r="AN58" s="22">
        <f t="shared" si="11"/>
        <v>17.587563799999995</v>
      </c>
      <c r="AO58" s="34">
        <v>44075</v>
      </c>
      <c r="AP58" s="36">
        <f t="shared" si="26"/>
        <v>49</v>
      </c>
      <c r="AQ58" s="22">
        <f t="shared" si="12"/>
        <v>283757.49053574289</v>
      </c>
      <c r="AR58" s="22">
        <f>1230.51*AP58*0.5</f>
        <v>30147.494999999999</v>
      </c>
      <c r="AS58" s="22">
        <f t="shared" si="13"/>
        <v>360990.73336610431</v>
      </c>
      <c r="AT58" s="22">
        <f>((12124.65-1168.04)/AB58)*1000*AN58*AP58</f>
        <v>612541.29933832749</v>
      </c>
      <c r="AU58" s="42"/>
    </row>
    <row r="59" spans="1:47" x14ac:dyDescent="0.2">
      <c r="A59" s="17" t="s">
        <v>122</v>
      </c>
      <c r="B59" s="3" t="s">
        <v>123</v>
      </c>
      <c r="C59" s="3" t="s">
        <v>37</v>
      </c>
      <c r="D59" s="18" t="s">
        <v>136</v>
      </c>
      <c r="E59" s="19">
        <v>180</v>
      </c>
      <c r="F59" s="19">
        <v>180</v>
      </c>
      <c r="G59" s="19">
        <v>180</v>
      </c>
      <c r="H59" s="19">
        <v>180</v>
      </c>
      <c r="I59" s="19">
        <v>180</v>
      </c>
      <c r="J59" s="19">
        <v>180</v>
      </c>
      <c r="K59" s="19">
        <v>180</v>
      </c>
      <c r="L59" s="19">
        <v>180</v>
      </c>
      <c r="M59" s="19">
        <v>180</v>
      </c>
      <c r="N59" s="19">
        <v>180</v>
      </c>
      <c r="O59" s="19">
        <v>180</v>
      </c>
      <c r="P59" s="19">
        <v>180</v>
      </c>
      <c r="Q59" s="19">
        <f>4293+24595.5</f>
        <v>28888.5</v>
      </c>
      <c r="R59" s="19">
        <f>3980.4+21644.2</f>
        <v>25624.600000000002</v>
      </c>
      <c r="S59" s="19">
        <f>4517.3+25706.1</f>
        <v>30223.399999999998</v>
      </c>
      <c r="T59" s="19">
        <f>2500.7+19102.2</f>
        <v>21602.9</v>
      </c>
      <c r="U59" s="19">
        <f>5366.2+27410.4</f>
        <v>32776.6</v>
      </c>
      <c r="V59" s="19">
        <f>3796.4+23321.1</f>
        <v>27117.5</v>
      </c>
      <c r="W59" s="19">
        <f>4828.1+29869.9</f>
        <v>34698</v>
      </c>
      <c r="X59" s="19">
        <f>4228.3+26673.9</f>
        <v>30902.2</v>
      </c>
      <c r="Y59" s="19">
        <f>3752.5+22095.7</f>
        <v>25848.2</v>
      </c>
      <c r="Z59" s="19">
        <f>3885+24397.7</f>
        <v>28282.7</v>
      </c>
      <c r="AA59" s="19">
        <f>3486.2+21709</f>
        <v>25195.200000000001</v>
      </c>
      <c r="AB59" s="19">
        <f>3780+24408.5</f>
        <v>28188.5</v>
      </c>
      <c r="AC59" s="22">
        <f t="shared" si="100"/>
        <v>180</v>
      </c>
      <c r="AD59" s="22">
        <f t="shared" si="101"/>
        <v>180</v>
      </c>
      <c r="AE59" s="22">
        <f t="shared" si="5"/>
        <v>34698</v>
      </c>
      <c r="AF59" s="22">
        <f t="shared" si="6"/>
        <v>21602.9</v>
      </c>
      <c r="AG59" s="22">
        <f t="shared" si="102"/>
        <v>28279.025000000005</v>
      </c>
      <c r="AH59" s="22">
        <f t="shared" si="7"/>
        <v>60.617324525873826</v>
      </c>
      <c r="AI59" s="23">
        <f t="shared" si="8"/>
        <v>23.608045185433383</v>
      </c>
      <c r="AJ59" s="23">
        <f t="shared" si="9"/>
        <v>22.698713976171366</v>
      </c>
      <c r="AK59" s="24" t="s">
        <v>147</v>
      </c>
      <c r="AL59" s="22">
        <f t="shared" si="69"/>
        <v>339348.30000000005</v>
      </c>
      <c r="AM59" s="22">
        <f t="shared" si="10"/>
        <v>339.34830000000005</v>
      </c>
      <c r="AN59" s="22">
        <f t="shared" si="11"/>
        <v>28.279025000000004</v>
      </c>
      <c r="AO59" s="34">
        <v>44044</v>
      </c>
      <c r="AP59" s="36">
        <f t="shared" si="26"/>
        <v>50</v>
      </c>
      <c r="AQ59" s="22">
        <f t="shared" si="12"/>
        <v>465564.65833125013</v>
      </c>
      <c r="AR59" s="22">
        <f>2010.6*AP59*0.5</f>
        <v>50265</v>
      </c>
      <c r="AS59" s="22">
        <f t="shared" si="13"/>
        <v>593204.1070809376</v>
      </c>
      <c r="AT59" s="22">
        <f>((15665.72-1333.74-214.17)/AB59)*1000*AN59*AP59</f>
        <v>708157.40804805164</v>
      </c>
      <c r="AU59" s="42"/>
    </row>
    <row r="60" spans="1:47" x14ac:dyDescent="0.2">
      <c r="A60" s="17" t="s">
        <v>125</v>
      </c>
      <c r="B60" s="3" t="s">
        <v>126</v>
      </c>
      <c r="C60" s="3" t="s">
        <v>37</v>
      </c>
      <c r="D60" s="18" t="s">
        <v>136</v>
      </c>
      <c r="E60" s="19">
        <v>200</v>
      </c>
      <c r="F60" s="19">
        <v>200</v>
      </c>
      <c r="G60" s="19">
        <v>200</v>
      </c>
      <c r="H60" s="19">
        <v>200</v>
      </c>
      <c r="I60" s="19">
        <v>200</v>
      </c>
      <c r="J60" s="19">
        <v>200</v>
      </c>
      <c r="K60" s="19">
        <v>201.9</v>
      </c>
      <c r="L60" s="19">
        <v>200.5</v>
      </c>
      <c r="M60" s="20">
        <v>200</v>
      </c>
      <c r="N60" s="19">
        <v>200</v>
      </c>
      <c r="O60" s="19">
        <v>200</v>
      </c>
      <c r="P60" s="19">
        <v>200</v>
      </c>
      <c r="Q60" s="19">
        <f>6585.8+40147.4</f>
        <v>46733.200000000004</v>
      </c>
      <c r="R60" s="19">
        <f>5914.3+34848.6</f>
        <v>40762.9</v>
      </c>
      <c r="S60" s="19">
        <f>5168+31164.7</f>
        <v>36332.699999999997</v>
      </c>
      <c r="T60" s="19">
        <f>5099.2+33158.5</f>
        <v>38257.699999999997</v>
      </c>
      <c r="U60" s="19">
        <f>3698.5+25344.1</f>
        <v>29042.6</v>
      </c>
      <c r="V60" s="19">
        <f>5891.8+35187.3</f>
        <v>41079.100000000006</v>
      </c>
      <c r="W60" s="19">
        <f>6236.7+41385.3</f>
        <v>47622</v>
      </c>
      <c r="X60" s="19">
        <f>5834.6+36508.6</f>
        <v>42343.199999999997</v>
      </c>
      <c r="Y60" s="19">
        <v>42874.2</v>
      </c>
      <c r="Z60" s="19">
        <f>4853+30595.2</f>
        <v>35448.199999999997</v>
      </c>
      <c r="AA60" s="19">
        <f>4671.1+30871.3</f>
        <v>35542.400000000001</v>
      </c>
      <c r="AB60" s="19">
        <f>5060.8+30427.7</f>
        <v>35488.5</v>
      </c>
      <c r="AC60" s="22">
        <f t="shared" ref="AC60" si="103">MAX(E60:P60)</f>
        <v>201.9</v>
      </c>
      <c r="AD60" s="22">
        <f t="shared" ref="AD60" si="104">AVERAGE(E60:P60)</f>
        <v>200.20000000000002</v>
      </c>
      <c r="AE60" s="22">
        <f t="shared" si="5"/>
        <v>47622</v>
      </c>
      <c r="AF60" s="22">
        <f t="shared" si="6"/>
        <v>29042.6</v>
      </c>
      <c r="AG60" s="22">
        <f t="shared" ref="AG60" si="105">AVERAGE(Q60:AB60)</f>
        <v>39293.89166666667</v>
      </c>
      <c r="AH60" s="22">
        <f t="shared" si="7"/>
        <v>63.972922534483835</v>
      </c>
      <c r="AI60" s="23">
        <f t="shared" si="8"/>
        <v>26.088766553410451</v>
      </c>
      <c r="AJ60" s="23">
        <f t="shared" si="9"/>
        <v>21.194409563657786</v>
      </c>
      <c r="AK60" s="24" t="s">
        <v>147</v>
      </c>
      <c r="AL60" s="22">
        <f t="shared" si="69"/>
        <v>471526.70000000007</v>
      </c>
      <c r="AM60" s="22">
        <f t="shared" si="10"/>
        <v>471.52670000000006</v>
      </c>
      <c r="AN60" s="22">
        <f t="shared" si="11"/>
        <v>39.293891666666674</v>
      </c>
      <c r="AO60" s="34">
        <v>43739</v>
      </c>
      <c r="AP60" s="36">
        <f t="shared" si="26"/>
        <v>60</v>
      </c>
      <c r="AQ60" s="22">
        <f t="shared" si="12"/>
        <v>776286.1943775001</v>
      </c>
      <c r="AR60" s="22">
        <f>2234*AP60*0.5</f>
        <v>67020</v>
      </c>
      <c r="AS60" s="22">
        <f t="shared" si="13"/>
        <v>969802.12353412504</v>
      </c>
      <c r="AT60" s="22">
        <f>((21957.73-1869.38-310.91)/AB60)*1000*AN60*AP60</f>
        <v>1313889.1496749653</v>
      </c>
      <c r="AU60" s="42"/>
    </row>
    <row r="61" spans="1:47" x14ac:dyDescent="0.2">
      <c r="A61" s="17" t="s">
        <v>127</v>
      </c>
      <c r="B61" s="3" t="s">
        <v>130</v>
      </c>
      <c r="C61" s="3" t="s">
        <v>37</v>
      </c>
      <c r="D61" s="18" t="s">
        <v>136</v>
      </c>
      <c r="E61" s="19">
        <v>600</v>
      </c>
      <c r="F61" s="19">
        <v>600</v>
      </c>
      <c r="G61" s="19">
        <v>600</v>
      </c>
      <c r="H61" s="19">
        <v>600</v>
      </c>
      <c r="I61" s="19">
        <v>600</v>
      </c>
      <c r="J61" s="19">
        <v>600</v>
      </c>
      <c r="K61" s="19">
        <v>600</v>
      </c>
      <c r="L61" s="19">
        <v>600</v>
      </c>
      <c r="M61" s="19">
        <v>600</v>
      </c>
      <c r="N61" s="19">
        <v>600</v>
      </c>
      <c r="O61" s="19">
        <v>600</v>
      </c>
      <c r="P61" s="19">
        <v>600</v>
      </c>
      <c r="Q61" s="19">
        <f>9068.2+54169.5</f>
        <v>63237.7</v>
      </c>
      <c r="R61" s="19">
        <f>9348.5+53527.8</f>
        <v>62876.3</v>
      </c>
      <c r="S61" s="19">
        <f>8960.5+50570.8</f>
        <v>59531.3</v>
      </c>
      <c r="T61" s="19">
        <f>9210.1+53851.1</f>
        <v>63061.2</v>
      </c>
      <c r="U61" s="19">
        <f>7330.1+43729.4</f>
        <v>51059.5</v>
      </c>
      <c r="V61" s="19">
        <f>10207.3+54656.3</f>
        <v>64863.600000000006</v>
      </c>
      <c r="W61" s="19">
        <f>10017.2+63330.6</f>
        <v>73347.8</v>
      </c>
      <c r="X61" s="19">
        <f>10176.3+59293.2</f>
        <v>69469.5</v>
      </c>
      <c r="Y61" s="19">
        <f>8689+56182.9</f>
        <v>64871.9</v>
      </c>
      <c r="Z61" s="19">
        <f>7725.3+46995</f>
        <v>54720.3</v>
      </c>
      <c r="AA61" s="19">
        <f>8045.3+52487.2</f>
        <v>60532.5</v>
      </c>
      <c r="AB61" s="19">
        <f>7301.5+46710.5</f>
        <v>54012</v>
      </c>
      <c r="AC61" s="22">
        <f t="shared" ref="AC61" si="106">MAX(E61:P61)</f>
        <v>600</v>
      </c>
      <c r="AD61" s="22">
        <f t="shared" ref="AD61" si="107">AVERAGE(E61:P61)</f>
        <v>600</v>
      </c>
      <c r="AE61" s="22">
        <f t="shared" si="5"/>
        <v>73347.8</v>
      </c>
      <c r="AF61" s="22">
        <f t="shared" si="6"/>
        <v>51059.5</v>
      </c>
      <c r="AG61" s="22">
        <f t="shared" ref="AG61" si="108">AVERAGE(Q61:AB61)</f>
        <v>61798.633333333331</v>
      </c>
      <c r="AH61" s="22">
        <f t="shared" si="7"/>
        <v>43.651622127126203</v>
      </c>
      <c r="AI61" s="23">
        <f t="shared" si="8"/>
        <v>17.377622698236582</v>
      </c>
      <c r="AJ61" s="23">
        <f t="shared" si="9"/>
        <v>18.688385233977677</v>
      </c>
      <c r="AK61" s="24" t="s">
        <v>147</v>
      </c>
      <c r="AL61" s="22">
        <f t="shared" si="69"/>
        <v>741583.6</v>
      </c>
      <c r="AM61" s="22">
        <f t="shared" si="10"/>
        <v>741.58359999999993</v>
      </c>
      <c r="AN61" s="22">
        <f t="shared" si="11"/>
        <v>61.798633333333328</v>
      </c>
      <c r="AO61" s="34">
        <v>43739</v>
      </c>
      <c r="AP61" s="36">
        <f t="shared" si="26"/>
        <v>60</v>
      </c>
      <c r="AQ61" s="22">
        <f t="shared" si="12"/>
        <v>1220887.6202699998</v>
      </c>
      <c r="AR61" s="22">
        <f>6702*AP61*0.5</f>
        <v>201060</v>
      </c>
      <c r="AS61" s="22">
        <f t="shared" si="13"/>
        <v>1635239.7633104997</v>
      </c>
      <c r="AT61" s="22">
        <f>((40279.45-3226.49-494.56)/AB61)*1000*AN61*AP61</f>
        <v>2509730.2342294301</v>
      </c>
      <c r="AU61" s="42"/>
    </row>
    <row r="62" spans="1:47" x14ac:dyDescent="0.2">
      <c r="A62" s="17" t="s">
        <v>128</v>
      </c>
      <c r="B62" s="3" t="s">
        <v>131</v>
      </c>
      <c r="C62" s="3" t="s">
        <v>37</v>
      </c>
      <c r="D62" s="18" t="s">
        <v>136</v>
      </c>
      <c r="E62" s="19">
        <v>100</v>
      </c>
      <c r="F62" s="19">
        <v>115.2</v>
      </c>
      <c r="G62" s="19">
        <v>105.8</v>
      </c>
      <c r="H62" s="19">
        <v>100</v>
      </c>
      <c r="I62" s="19">
        <v>112.9</v>
      </c>
      <c r="J62" s="19">
        <v>116.9</v>
      </c>
      <c r="K62" s="19">
        <v>118.2</v>
      </c>
      <c r="L62" s="19">
        <v>100</v>
      </c>
      <c r="M62" s="19">
        <v>100</v>
      </c>
      <c r="N62" s="19">
        <v>100</v>
      </c>
      <c r="O62" s="19">
        <v>100</v>
      </c>
      <c r="P62" s="19">
        <v>100</v>
      </c>
      <c r="Q62" s="19">
        <f>3368.9+17067.3</f>
        <v>20436.2</v>
      </c>
      <c r="R62" s="19">
        <f>3320.4+15213.8</f>
        <v>18534.2</v>
      </c>
      <c r="S62" s="19">
        <f>3724+17365.9</f>
        <v>21089.9</v>
      </c>
      <c r="T62" s="19">
        <f>1958.4+11009.3</f>
        <v>12967.699999999999</v>
      </c>
      <c r="U62" s="19">
        <f>4244.6+16015.5</f>
        <v>20260.099999999999</v>
      </c>
      <c r="V62" s="19">
        <f>3365+16536.4</f>
        <v>19901.400000000001</v>
      </c>
      <c r="W62" s="19">
        <f>4217.5+21123.9</f>
        <v>25341.4</v>
      </c>
      <c r="X62" s="19">
        <f>3434.1+16785.3</f>
        <v>20219.399999999998</v>
      </c>
      <c r="Y62" s="19">
        <f>2651.8+13438.8</f>
        <v>16090.599999999999</v>
      </c>
      <c r="Z62" s="19">
        <f>2883.9+14874.7</f>
        <v>17758.600000000002</v>
      </c>
      <c r="AA62" s="19">
        <f>2450.5+13424.8</f>
        <v>15875.3</v>
      </c>
      <c r="AB62" s="19">
        <f>2646.1+15593.2</f>
        <v>18239.3</v>
      </c>
      <c r="AC62" s="22">
        <f t="shared" ref="AC62" si="109">MAX(E62:P62)</f>
        <v>118.2</v>
      </c>
      <c r="AD62" s="22">
        <f t="shared" ref="AD62" si="110">AVERAGE(E62:P62)</f>
        <v>105.75</v>
      </c>
      <c r="AE62" s="22">
        <f t="shared" si="5"/>
        <v>25341.4</v>
      </c>
      <c r="AF62" s="22">
        <f t="shared" si="6"/>
        <v>12967.699999999999</v>
      </c>
      <c r="AG62" s="22">
        <f t="shared" ref="AG62" si="111">AVERAGE(Q62:AB62)</f>
        <v>18892.841666666664</v>
      </c>
      <c r="AH62" s="22">
        <f t="shared" si="7"/>
        <v>95.419388172150832</v>
      </c>
      <c r="AI62" s="23">
        <f t="shared" si="8"/>
        <v>31.361834133827575</v>
      </c>
      <c r="AJ62" s="23">
        <f t="shared" si="9"/>
        <v>34.132283788260217</v>
      </c>
      <c r="AK62" s="24" t="s">
        <v>148</v>
      </c>
      <c r="AL62" s="22">
        <f t="shared" si="69"/>
        <v>226714.09999999998</v>
      </c>
      <c r="AM62" s="22">
        <f t="shared" si="10"/>
        <v>226.71409999999997</v>
      </c>
      <c r="AN62" s="22">
        <f t="shared" si="11"/>
        <v>18.892841666666666</v>
      </c>
      <c r="AO62" s="34">
        <v>43739</v>
      </c>
      <c r="AP62" s="36">
        <f t="shared" si="26"/>
        <v>60</v>
      </c>
      <c r="AQ62" s="22">
        <f t="shared" si="12"/>
        <v>373245.09068250004</v>
      </c>
      <c r="AR62" s="22">
        <f>1117*AP62*0.5</f>
        <v>33510</v>
      </c>
      <c r="AS62" s="22">
        <f t="shared" si="13"/>
        <v>467768.35428487504</v>
      </c>
      <c r="AT62" s="22">
        <f>((10269.88-824.76-150.55)/AB62)*1000*AN62*AP62</f>
        <v>577656.50886739069</v>
      </c>
      <c r="AU62" s="42"/>
    </row>
    <row r="63" spans="1:47" ht="12.75" thickBot="1" x14ac:dyDescent="0.25">
      <c r="A63" s="17" t="s">
        <v>129</v>
      </c>
      <c r="B63" s="3" t="s">
        <v>132</v>
      </c>
      <c r="C63" s="3" t="s">
        <v>55</v>
      </c>
      <c r="D63" s="18" t="s">
        <v>136</v>
      </c>
      <c r="E63" s="19">
        <v>100</v>
      </c>
      <c r="F63" s="19">
        <v>100</v>
      </c>
      <c r="G63" s="19">
        <v>100</v>
      </c>
      <c r="H63" s="19">
        <v>100</v>
      </c>
      <c r="I63" s="19">
        <v>100</v>
      </c>
      <c r="J63" s="19">
        <v>100</v>
      </c>
      <c r="K63" s="19">
        <v>100</v>
      </c>
      <c r="L63" s="19">
        <v>100</v>
      </c>
      <c r="M63" s="19">
        <v>100</v>
      </c>
      <c r="N63" s="27">
        <v>100</v>
      </c>
      <c r="O63" s="27">
        <v>100</v>
      </c>
      <c r="P63" s="27">
        <v>100</v>
      </c>
      <c r="Q63" s="19">
        <f>2629+11472</f>
        <v>14101</v>
      </c>
      <c r="R63" s="19">
        <f>2746+12030</f>
        <v>14776</v>
      </c>
      <c r="S63" s="19">
        <f>2244+11696</f>
        <v>13940</v>
      </c>
      <c r="T63" s="19">
        <f>1241+6717</f>
        <v>7958</v>
      </c>
      <c r="U63" s="19">
        <f>1753+9387</f>
        <v>11140</v>
      </c>
      <c r="V63" s="19">
        <f>2092+11625</f>
        <v>13717</v>
      </c>
      <c r="W63" s="19">
        <f>2970+12760</f>
        <v>15730</v>
      </c>
      <c r="X63" s="19">
        <f>2379+10324</f>
        <v>12703</v>
      </c>
      <c r="Y63" s="19">
        <f>1772+7343</f>
        <v>9115</v>
      </c>
      <c r="Z63" s="19">
        <f>1810+7901</f>
        <v>9711</v>
      </c>
      <c r="AA63" s="19">
        <f>1690+7029</f>
        <v>8719</v>
      </c>
      <c r="AB63" s="19">
        <f>1837+8333</f>
        <v>10170</v>
      </c>
      <c r="AC63" s="22">
        <f t="shared" ref="AC63" si="112">MAX(E63:P63)</f>
        <v>100</v>
      </c>
      <c r="AD63" s="22">
        <f t="shared" ref="AD63" si="113">AVERAGE(E63:P63)</f>
        <v>100</v>
      </c>
      <c r="AE63" s="22">
        <f t="shared" si="5"/>
        <v>15730</v>
      </c>
      <c r="AF63" s="22">
        <f t="shared" si="6"/>
        <v>7958</v>
      </c>
      <c r="AG63" s="22">
        <f t="shared" ref="AG63" si="114">AVERAGE(Q63:AB63)</f>
        <v>11815</v>
      </c>
      <c r="AH63" s="22">
        <f t="shared" si="7"/>
        <v>97.662729328977122</v>
      </c>
      <c r="AI63" s="23">
        <f t="shared" si="8"/>
        <v>32.644942869234022</v>
      </c>
      <c r="AJ63" s="23">
        <f t="shared" si="9"/>
        <v>33.135844265763858</v>
      </c>
      <c r="AK63" s="24" t="s">
        <v>148</v>
      </c>
      <c r="AL63" s="22">
        <f t="shared" si="69"/>
        <v>141780</v>
      </c>
      <c r="AM63" s="22">
        <f t="shared" si="10"/>
        <v>141.78</v>
      </c>
      <c r="AN63" s="22">
        <f t="shared" si="11"/>
        <v>11.815</v>
      </c>
      <c r="AO63" s="34">
        <v>43891</v>
      </c>
      <c r="AP63" s="36">
        <f t="shared" si="26"/>
        <v>55</v>
      </c>
      <c r="AQ63" s="45">
        <f t="shared" si="12"/>
        <v>213964.62862499998</v>
      </c>
      <c r="AR63" s="22">
        <f>1721*AP63*0.5</f>
        <v>47327.5</v>
      </c>
      <c r="AS63" s="22">
        <f t="shared" si="13"/>
        <v>300485.94791874994</v>
      </c>
      <c r="AT63" s="45">
        <f>((7648.61-536.97)/AB63)*1000*AN63*AP63</f>
        <v>454407.22350049153</v>
      </c>
      <c r="AU63" s="42"/>
    </row>
    <row r="64" spans="1:47" ht="12.75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9" t="s">
        <v>133</v>
      </c>
      <c r="O64" s="30"/>
      <c r="P64" s="31"/>
      <c r="Q64" s="22">
        <f>SUM(Q9:Q63)/1000</f>
        <v>2559.1459080000009</v>
      </c>
      <c r="R64" s="22">
        <f t="shared" ref="R64:AB64" si="115">SUM(R9:R63)/1000</f>
        <v>2609.8695186</v>
      </c>
      <c r="S64" s="22">
        <f t="shared" si="115"/>
        <v>2643.6216163999984</v>
      </c>
      <c r="T64" s="22">
        <f t="shared" si="115"/>
        <v>2374.2286894000008</v>
      </c>
      <c r="U64" s="22">
        <f t="shared" si="115"/>
        <v>2386.8131142000002</v>
      </c>
      <c r="V64" s="22">
        <f t="shared" si="115"/>
        <v>2714.8599894000004</v>
      </c>
      <c r="W64" s="22">
        <f t="shared" si="115"/>
        <v>3098.0209764000006</v>
      </c>
      <c r="X64" s="22">
        <f t="shared" si="115"/>
        <v>2830.7483640000005</v>
      </c>
      <c r="Y64" s="22">
        <f t="shared" si="115"/>
        <v>2637.6291742000003</v>
      </c>
      <c r="Z64" s="22">
        <f t="shared" si="115"/>
        <v>2346.1944486000002</v>
      </c>
      <c r="AA64" s="22">
        <f t="shared" si="115"/>
        <v>2306.4870910000004</v>
      </c>
      <c r="AB64" s="22">
        <f t="shared" si="115"/>
        <v>2374.6506430000004</v>
      </c>
      <c r="AC64" s="28"/>
      <c r="AD64" s="32" t="s">
        <v>154</v>
      </c>
      <c r="AE64" s="22">
        <f t="shared" ref="AE64" si="116">MAX(Q64:AB64)</f>
        <v>3098.0209764000006</v>
      </c>
      <c r="AF64" s="22">
        <f t="shared" ref="AF64" si="117">MIN(Q64:AB64)</f>
        <v>2306.4870910000004</v>
      </c>
      <c r="AG64" s="22">
        <f t="shared" ref="AG64" si="118">AVERAGE(Q64:AB64)</f>
        <v>2573.5224610999999</v>
      </c>
      <c r="AH64" s="22">
        <f t="shared" si="7"/>
        <v>34.317724494908084</v>
      </c>
      <c r="AI64" s="23">
        <f t="shared" si="8"/>
        <v>10.376259548395804</v>
      </c>
      <c r="AJ64" s="23">
        <f t="shared" si="9"/>
        <v>20.380568781817214</v>
      </c>
      <c r="AK64" s="28"/>
      <c r="AL64" s="22">
        <f>(SUM(AL9:AL63))</f>
        <v>30882269.533199996</v>
      </c>
      <c r="AM64" s="22">
        <f t="shared" si="10"/>
        <v>30882.269533199997</v>
      </c>
      <c r="AN64" s="22">
        <f>AM64/12</f>
        <v>2573.5224610999999</v>
      </c>
      <c r="AO64" s="33" t="s">
        <v>159</v>
      </c>
      <c r="AP64" s="47" t="s">
        <v>159</v>
      </c>
      <c r="AQ64" s="37">
        <f>SUM(AQ9:AQ63)</f>
        <v>45143785.081358232</v>
      </c>
      <c r="AR64" s="25"/>
      <c r="AS64" s="44">
        <f>SUM(AS9:AS63)</f>
        <v>58581074.848545305</v>
      </c>
      <c r="AT64" s="46">
        <f>SUM(AT9:AT63)</f>
        <v>78579712.684122279</v>
      </c>
    </row>
    <row r="65" spans="28:47" x14ac:dyDescent="0.2">
      <c r="AB65" s="25"/>
      <c r="AL65" s="25"/>
      <c r="AM65" s="25"/>
      <c r="AN65" s="25"/>
      <c r="AT65" s="43"/>
      <c r="AU65" s="43"/>
    </row>
    <row r="66" spans="28:47" x14ac:dyDescent="0.2">
      <c r="AB66" s="25"/>
      <c r="AL66" s="25"/>
      <c r="AM66" s="25"/>
      <c r="AN66" s="25"/>
    </row>
    <row r="67" spans="28:47" x14ac:dyDescent="0.2">
      <c r="AB67" s="25"/>
      <c r="AL67" s="25"/>
      <c r="AM67" s="25"/>
      <c r="AN67" s="25"/>
      <c r="AS67" s="2">
        <f>((AT64-AS64)/AT64)*100</f>
        <v>25.450128477776779</v>
      </c>
    </row>
  </sheetData>
  <mergeCells count="2">
    <mergeCell ref="E5:P5"/>
    <mergeCell ref="Q5:AB5"/>
  </mergeCells>
  <pageMargins left="0.31496062992125984" right="0.31496062992125984" top="0.39370078740157483" bottom="0.39370078740157483" header="0.31496062992125984" footer="0.31496062992125984"/>
  <pageSetup paperSize="9" scale="9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PERFIL DE USO</vt:lpstr>
      <vt:lpstr>'PERFIL DE USO'!Area_de_impressao</vt:lpstr>
      <vt:lpstr>'PERFIL DE USO'!Titulos_de_impressao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Baptista</dc:creator>
  <cp:lastModifiedBy>Marco Aurelio do Carmo Batista</cp:lastModifiedBy>
  <cp:lastPrinted>2019-02-14T16:41:59Z</cp:lastPrinted>
  <dcterms:created xsi:type="dcterms:W3CDTF">2018-12-05T16:10:53Z</dcterms:created>
  <dcterms:modified xsi:type="dcterms:W3CDTF">2019-02-14T16:44:10Z</dcterms:modified>
</cp:coreProperties>
</file>