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748"/>
  </bookViews>
  <sheets>
    <sheet name="Resumo postos" sheetId="11" r:id="rId1"/>
    <sheet name="Posto 12x36 diurno ISS 2%" sheetId="3" r:id="rId2"/>
    <sheet name="Posto 12x36 noturno ISS 2%" sheetId="10" r:id="rId3"/>
    <sheet name="Posto 12x36 diurno ISS 3%" sheetId="21" r:id="rId4"/>
    <sheet name="Posto 12x36 noturno ISS 3%" sheetId="22" r:id="rId5"/>
    <sheet name="Planilha de Apoio - P 12 x 36" sheetId="4" r:id="rId6"/>
    <sheet name="SEDE Seg Sex Líder 44h" sheetId="19" r:id="rId7"/>
    <sheet name="Planilha de Apoio Sede Líder" sheetId="16" r:id="rId8"/>
    <sheet name="L13 - JBQ - Seg Sab" sheetId="14" r:id="rId9"/>
    <sheet name="Planlha de Apoio L13 - JBQ" sheetId="20" r:id="rId10"/>
    <sheet name="PRI - Moto" sheetId="25" r:id="rId11"/>
    <sheet name="Planilha de Apoio - PRI Moto" sheetId="26" r:id="rId12"/>
    <sheet name="SAD - Seg Sex" sheetId="27" r:id="rId13"/>
    <sheet name="Planilha de Apoio - SAD Seg Sex" sheetId="28" r:id="rId14"/>
    <sheet name="SBC - Seg Sáb" sheetId="29" r:id="rId15"/>
    <sheet name="Planilha de Apoio - SBC Seg Sáb" sheetId="30" r:id="rId16"/>
    <sheet name="TBS - Seg Sex Moto" sheetId="31" r:id="rId17"/>
    <sheet name="Planilha de Apoio - TBS Seg Sex" sheetId="32" r:id="rId18"/>
  </sheets>
  <definedNames>
    <definedName name="_xlnm.Print_Area" localSheetId="8">'L13 - JBQ - Seg Sab'!$A$1:$D$139</definedName>
    <definedName name="_xlnm.Print_Area" localSheetId="7">'Planilha de Apoio Sede Líder'!$A$1:$E$46</definedName>
    <definedName name="_xlnm.Print_Area" localSheetId="1">'Posto 12x36 diurno ISS 2%'!$A$1:$D$137</definedName>
    <definedName name="_xlnm.Print_Area" localSheetId="2">'Posto 12x36 noturno ISS 2%'!$A$1:$D$139</definedName>
    <definedName name="_xlnm.Print_Area" localSheetId="6">'SEDE Seg Sex Líder 44h'!$A$1:$D$138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9" l="1"/>
  <c r="C50" i="31"/>
  <c r="C47" i="27"/>
  <c r="C51" i="29"/>
  <c r="C50" i="25"/>
  <c r="C49" i="14"/>
  <c r="C49" i="22"/>
  <c r="C47" i="21"/>
  <c r="C49" i="10"/>
  <c r="C47" i="3"/>
  <c r="D73" i="32"/>
  <c r="C71" i="32"/>
  <c r="D71" i="32" s="1"/>
  <c r="G73" i="32" s="1"/>
  <c r="F65" i="32"/>
  <c r="G65" i="32" s="1"/>
  <c r="H65" i="32" s="1"/>
  <c r="F64" i="32"/>
  <c r="G64" i="32" s="1"/>
  <c r="H64" i="32" s="1"/>
  <c r="G63" i="32"/>
  <c r="H63" i="32" s="1"/>
  <c r="F63" i="32"/>
  <c r="F62" i="32"/>
  <c r="G62" i="32" s="1"/>
  <c r="H62" i="32" s="1"/>
  <c r="F61" i="32"/>
  <c r="G61" i="32" s="1"/>
  <c r="H61" i="32" s="1"/>
  <c r="F60" i="32"/>
  <c r="G59" i="32"/>
  <c r="F59" i="32"/>
  <c r="D42" i="32"/>
  <c r="D41" i="32"/>
  <c r="D40" i="32"/>
  <c r="D39" i="32"/>
  <c r="D38" i="32"/>
  <c r="D37" i="32"/>
  <c r="C33" i="32"/>
  <c r="D33" i="32" s="1"/>
  <c r="C32" i="32"/>
  <c r="D32" i="32" s="1"/>
  <c r="C31" i="32"/>
  <c r="D31" i="32" s="1"/>
  <c r="C30" i="32"/>
  <c r="D30" i="32" s="1"/>
  <c r="C29" i="32"/>
  <c r="D29" i="32" s="1"/>
  <c r="D25" i="32"/>
  <c r="C48" i="31" s="1"/>
  <c r="D20" i="32"/>
  <c r="D19" i="32"/>
  <c r="A17" i="32"/>
  <c r="E10" i="32"/>
  <c r="C14" i="32" s="1"/>
  <c r="E6" i="32"/>
  <c r="B14" i="32" s="1"/>
  <c r="D11" i="25"/>
  <c r="D11" i="31"/>
  <c r="C120" i="31"/>
  <c r="C117" i="31"/>
  <c r="C118" i="31" s="1"/>
  <c r="C80" i="31"/>
  <c r="C86" i="31" s="1"/>
  <c r="C66" i="31"/>
  <c r="C39" i="31"/>
  <c r="C33" i="31"/>
  <c r="C25" i="31"/>
  <c r="D13" i="31"/>
  <c r="C12" i="31"/>
  <c r="C11" i="31"/>
  <c r="D14" i="29"/>
  <c r="D42" i="30"/>
  <c r="D41" i="30"/>
  <c r="D40" i="30"/>
  <c r="D39" i="30"/>
  <c r="D38" i="30"/>
  <c r="D37" i="30"/>
  <c r="C33" i="30"/>
  <c r="D33" i="30" s="1"/>
  <c r="C32" i="30"/>
  <c r="D32" i="30" s="1"/>
  <c r="C31" i="30"/>
  <c r="D31" i="30" s="1"/>
  <c r="D30" i="30"/>
  <c r="C30" i="30"/>
  <c r="C29" i="30"/>
  <c r="D29" i="30" s="1"/>
  <c r="D25" i="30"/>
  <c r="C49" i="29" s="1"/>
  <c r="D20" i="30"/>
  <c r="D19" i="30"/>
  <c r="A17" i="30"/>
  <c r="E10" i="30"/>
  <c r="C14" i="30" s="1"/>
  <c r="E6" i="30"/>
  <c r="B14" i="30" s="1"/>
  <c r="C121" i="29"/>
  <c r="C118" i="29"/>
  <c r="C119" i="29" s="1"/>
  <c r="F92" i="29"/>
  <c r="F93" i="29" s="1"/>
  <c r="F94" i="29" s="1"/>
  <c r="F95" i="29" s="1"/>
  <c r="C93" i="29" s="1"/>
  <c r="C94" i="29" s="1"/>
  <c r="C101" i="29" s="1"/>
  <c r="C81" i="29"/>
  <c r="C87" i="29" s="1"/>
  <c r="C67" i="29"/>
  <c r="C34" i="29"/>
  <c r="C40" i="29" s="1"/>
  <c r="C26" i="29"/>
  <c r="D13" i="29"/>
  <c r="D11" i="29"/>
  <c r="C11" i="29"/>
  <c r="D10" i="29" s="1"/>
  <c r="E10" i="29" s="1"/>
  <c r="E13" i="29" s="1"/>
  <c r="C14" i="29" s="1"/>
  <c r="C15" i="29" s="1"/>
  <c r="C117" i="27"/>
  <c r="C114" i="27"/>
  <c r="C115" i="27" s="1"/>
  <c r="C77" i="27"/>
  <c r="C83" i="27" s="1"/>
  <c r="C63" i="27"/>
  <c r="C30" i="27"/>
  <c r="C36" i="27" s="1"/>
  <c r="C22" i="27"/>
  <c r="C11" i="27"/>
  <c r="D42" i="28"/>
  <c r="D41" i="28"/>
  <c r="D40" i="28"/>
  <c r="D39" i="28"/>
  <c r="D38" i="28"/>
  <c r="D37" i="28"/>
  <c r="C33" i="28"/>
  <c r="D33" i="28" s="1"/>
  <c r="C32" i="28"/>
  <c r="D32" i="28" s="1"/>
  <c r="D31" i="28"/>
  <c r="C31" i="28"/>
  <c r="C30" i="28"/>
  <c r="D30" i="28" s="1"/>
  <c r="C29" i="28"/>
  <c r="D29" i="28" s="1"/>
  <c r="D25" i="28"/>
  <c r="C45" i="27" s="1"/>
  <c r="D20" i="28"/>
  <c r="D19" i="28"/>
  <c r="A17" i="28"/>
  <c r="E10" i="28"/>
  <c r="C14" i="28" s="1"/>
  <c r="E6" i="28"/>
  <c r="B14" i="28" s="1"/>
  <c r="D21" i="32" l="1"/>
  <c r="C46" i="31" s="1"/>
  <c r="B46" i="32"/>
  <c r="C46" i="32" s="1"/>
  <c r="C107" i="31" s="1"/>
  <c r="F67" i="32"/>
  <c r="B46" i="28"/>
  <c r="C46" i="28" s="1"/>
  <c r="C104" i="27" s="1"/>
  <c r="D21" i="30"/>
  <c r="C47" i="29" s="1"/>
  <c r="D21" i="28"/>
  <c r="C43" i="27" s="1"/>
  <c r="C55" i="27" s="1"/>
  <c r="B46" i="30"/>
  <c r="C46" i="30" s="1"/>
  <c r="C108" i="29" s="1"/>
  <c r="C112" i="29" s="1"/>
  <c r="C136" i="29" s="1"/>
  <c r="F91" i="31"/>
  <c r="F92" i="31" s="1"/>
  <c r="F93" i="31" s="1"/>
  <c r="F94" i="31" s="1"/>
  <c r="C92" i="31" s="1"/>
  <c r="C93" i="31" s="1"/>
  <c r="C100" i="31" s="1"/>
  <c r="C58" i="31"/>
  <c r="D34" i="32"/>
  <c r="C108" i="31" s="1"/>
  <c r="D14" i="32"/>
  <c r="C45" i="31" s="1"/>
  <c r="G60" i="32"/>
  <c r="H60" i="32" s="1"/>
  <c r="H59" i="32"/>
  <c r="C69" i="31"/>
  <c r="C71" i="31" s="1"/>
  <c r="C87" i="31" s="1"/>
  <c r="D10" i="31"/>
  <c r="E10" i="31" s="1"/>
  <c r="C125" i="31"/>
  <c r="E39" i="31"/>
  <c r="D34" i="30"/>
  <c r="C109" i="29" s="1"/>
  <c r="D14" i="30"/>
  <c r="C46" i="29" s="1"/>
  <c r="C59" i="29" s="1"/>
  <c r="E40" i="29"/>
  <c r="C70" i="29"/>
  <c r="E11" i="29"/>
  <c r="E12" i="29" s="1"/>
  <c r="C13" i="29" s="1"/>
  <c r="C126" i="29"/>
  <c r="E36" i="27"/>
  <c r="C66" i="27"/>
  <c r="C68" i="27" s="1"/>
  <c r="C84" i="27" s="1"/>
  <c r="F88" i="27"/>
  <c r="F89" i="27" s="1"/>
  <c r="F90" i="27" s="1"/>
  <c r="F91" i="27" s="1"/>
  <c r="C89" i="27" s="1"/>
  <c r="C90" i="27" s="1"/>
  <c r="C97" i="27" s="1"/>
  <c r="C122" i="27"/>
  <c r="D34" i="28"/>
  <c r="C105" i="27" s="1"/>
  <c r="C108" i="27" s="1"/>
  <c r="C132" i="27" s="1"/>
  <c r="D14" i="28"/>
  <c r="C42" i="27" s="1"/>
  <c r="C71" i="26"/>
  <c r="D71" i="26" s="1"/>
  <c r="D73" i="26"/>
  <c r="F65" i="26"/>
  <c r="G65" i="26" s="1"/>
  <c r="F64" i="26"/>
  <c r="G64" i="26" s="1"/>
  <c r="F63" i="26"/>
  <c r="G63" i="26" s="1"/>
  <c r="F62" i="26"/>
  <c r="G62" i="26" s="1"/>
  <c r="F61" i="26"/>
  <c r="G61" i="26" s="1"/>
  <c r="F60" i="26"/>
  <c r="G60" i="26" s="1"/>
  <c r="F59" i="26"/>
  <c r="H67" i="32" l="1"/>
  <c r="G75" i="32" s="1"/>
  <c r="G67" i="32"/>
  <c r="E11" i="31"/>
  <c r="E13" i="31"/>
  <c r="C14" i="31" s="1"/>
  <c r="C72" i="29"/>
  <c r="C88" i="29" s="1"/>
  <c r="C12" i="29"/>
  <c r="C12" i="27"/>
  <c r="D66" i="27" s="1"/>
  <c r="F67" i="26"/>
  <c r="G73" i="26"/>
  <c r="H60" i="26"/>
  <c r="H61" i="26"/>
  <c r="H63" i="26"/>
  <c r="H65" i="26"/>
  <c r="H62" i="26"/>
  <c r="H64" i="26"/>
  <c r="G59" i="26"/>
  <c r="C12" i="25"/>
  <c r="C16" i="29" l="1"/>
  <c r="D70" i="29" s="1"/>
  <c r="E12" i="31"/>
  <c r="C13" i="31"/>
  <c r="C15" i="31" s="1"/>
  <c r="D84" i="29"/>
  <c r="D85" i="29"/>
  <c r="D71" i="29"/>
  <c r="D82" i="29"/>
  <c r="D69" i="29"/>
  <c r="D66" i="29"/>
  <c r="C132" i="29"/>
  <c r="D83" i="27"/>
  <c r="C96" i="27" s="1"/>
  <c r="C98" i="27" s="1"/>
  <c r="C131" i="27" s="1"/>
  <c r="D80" i="27"/>
  <c r="D63" i="27"/>
  <c r="D81" i="27"/>
  <c r="D77" i="27"/>
  <c r="D67" i="27"/>
  <c r="D64" i="27"/>
  <c r="D22" i="27"/>
  <c r="D82" i="27"/>
  <c r="D78" i="27"/>
  <c r="D65" i="27"/>
  <c r="D62" i="27"/>
  <c r="D20" i="27"/>
  <c r="C128" i="27"/>
  <c r="D79" i="27"/>
  <c r="D21" i="27"/>
  <c r="G67" i="26"/>
  <c r="H59" i="26"/>
  <c r="H67" i="26" s="1"/>
  <c r="G75" i="26" s="1"/>
  <c r="C120" i="25"/>
  <c r="C117" i="25"/>
  <c r="C80" i="25"/>
  <c r="C86" i="25" s="1"/>
  <c r="C66" i="25"/>
  <c r="C33" i="25"/>
  <c r="C39" i="25" s="1"/>
  <c r="C25" i="25"/>
  <c r="C11" i="25"/>
  <c r="D42" i="26"/>
  <c r="D41" i="26"/>
  <c r="D40" i="26"/>
  <c r="D39" i="26"/>
  <c r="D38" i="26"/>
  <c r="D37" i="26"/>
  <c r="C33" i="26"/>
  <c r="D33" i="26" s="1"/>
  <c r="C32" i="26"/>
  <c r="D32" i="26" s="1"/>
  <c r="C31" i="26"/>
  <c r="D31" i="26" s="1"/>
  <c r="C30" i="26"/>
  <c r="D30" i="26" s="1"/>
  <c r="C29" i="26"/>
  <c r="D29" i="26" s="1"/>
  <c r="D25" i="26"/>
  <c r="C48" i="25" s="1"/>
  <c r="D20" i="26"/>
  <c r="D19" i="26"/>
  <c r="A17" i="26"/>
  <c r="E10" i="26"/>
  <c r="C14" i="26" s="1"/>
  <c r="E6" i="26"/>
  <c r="B14" i="26" s="1"/>
  <c r="D14" i="26" s="1"/>
  <c r="C45" i="25" s="1"/>
  <c r="D21" i="26" l="1"/>
  <c r="C46" i="25" s="1"/>
  <c r="C58" i="25" s="1"/>
  <c r="D67" i="29"/>
  <c r="C109" i="25"/>
  <c r="C109" i="31"/>
  <c r="C111" i="31" s="1"/>
  <c r="C135" i="31" s="1"/>
  <c r="B46" i="26"/>
  <c r="C46" i="26" s="1"/>
  <c r="C107" i="25" s="1"/>
  <c r="D86" i="29"/>
  <c r="D87" i="29"/>
  <c r="C100" i="29" s="1"/>
  <c r="C102" i="29" s="1"/>
  <c r="C135" i="29" s="1"/>
  <c r="D25" i="29"/>
  <c r="D26" i="29"/>
  <c r="D35" i="29" s="1"/>
  <c r="D83" i="29"/>
  <c r="D68" i="29"/>
  <c r="D10" i="25"/>
  <c r="E10" i="25" s="1"/>
  <c r="F91" i="25"/>
  <c r="F92" i="25" s="1"/>
  <c r="F93" i="25" s="1"/>
  <c r="F94" i="25" s="1"/>
  <c r="C92" i="25" s="1"/>
  <c r="C93" i="25" s="1"/>
  <c r="C100" i="25" s="1"/>
  <c r="D24" i="29"/>
  <c r="D81" i="29"/>
  <c r="D67" i="31"/>
  <c r="D85" i="31"/>
  <c r="D81" i="31"/>
  <c r="D68" i="31"/>
  <c r="D65" i="31"/>
  <c r="D23" i="31"/>
  <c r="D24" i="31"/>
  <c r="D82" i="31"/>
  <c r="C131" i="31"/>
  <c r="D86" i="31"/>
  <c r="C99" i="31" s="1"/>
  <c r="C101" i="31" s="1"/>
  <c r="C134" i="31" s="1"/>
  <c r="D83" i="31"/>
  <c r="D66" i="31"/>
  <c r="D84" i="31"/>
  <c r="D80" i="31"/>
  <c r="D70" i="31"/>
  <c r="D25" i="31"/>
  <c r="D69" i="31"/>
  <c r="D72" i="29"/>
  <c r="C134" i="29" s="1"/>
  <c r="D37" i="29"/>
  <c r="D34" i="29"/>
  <c r="C57" i="29"/>
  <c r="D39" i="29"/>
  <c r="D32" i="29"/>
  <c r="D33" i="29"/>
  <c r="D68" i="27"/>
  <c r="C130" i="27" s="1"/>
  <c r="D36" i="27"/>
  <c r="C54" i="27" s="1"/>
  <c r="D33" i="27"/>
  <c r="D34" i="27"/>
  <c r="D30" i="27"/>
  <c r="C53" i="27"/>
  <c r="C56" i="27" s="1"/>
  <c r="D35" i="27"/>
  <c r="D31" i="27"/>
  <c r="D28" i="27"/>
  <c r="D32" i="27"/>
  <c r="D29" i="27"/>
  <c r="E39" i="25"/>
  <c r="C69" i="25"/>
  <c r="C118" i="25"/>
  <c r="C125" i="25" s="1"/>
  <c r="D34" i="26"/>
  <c r="C108" i="25" s="1"/>
  <c r="C111" i="25" s="1"/>
  <c r="C135" i="25" s="1"/>
  <c r="D11" i="14"/>
  <c r="C12" i="19"/>
  <c r="C119" i="22"/>
  <c r="C116" i="22"/>
  <c r="C117" i="22" s="1"/>
  <c r="C107" i="22"/>
  <c r="C106" i="22"/>
  <c r="C84" i="22"/>
  <c r="C83" i="22"/>
  <c r="C82" i="22"/>
  <c r="C81" i="22"/>
  <c r="C80" i="22"/>
  <c r="C69" i="22"/>
  <c r="C67" i="22"/>
  <c r="C66" i="22"/>
  <c r="C64" i="22"/>
  <c r="C37" i="22"/>
  <c r="C36" i="22"/>
  <c r="C35" i="22"/>
  <c r="C34" i="22"/>
  <c r="C33" i="22"/>
  <c r="C32" i="22"/>
  <c r="C31" i="22"/>
  <c r="C30" i="22"/>
  <c r="C23" i="22"/>
  <c r="C22" i="22"/>
  <c r="D12" i="22"/>
  <c r="C11" i="22"/>
  <c r="E90" i="22" s="1"/>
  <c r="E93" i="22" s="1"/>
  <c r="E94" i="22" s="1"/>
  <c r="E95" i="22" s="1"/>
  <c r="C91" i="22" s="1"/>
  <c r="C92" i="22" s="1"/>
  <c r="C99" i="22" s="1"/>
  <c r="C117" i="21"/>
  <c r="C115" i="21"/>
  <c r="C122" i="21" s="1"/>
  <c r="C77" i="21"/>
  <c r="C83" i="21" s="1"/>
  <c r="C63" i="21"/>
  <c r="C45" i="21"/>
  <c r="C36" i="21"/>
  <c r="C66" i="21" s="1"/>
  <c r="C22" i="21"/>
  <c r="C11" i="21"/>
  <c r="F88" i="21" s="1"/>
  <c r="F89" i="21" s="1"/>
  <c r="F90" i="21" s="1"/>
  <c r="F91" i="21" s="1"/>
  <c r="C89" i="21" s="1"/>
  <c r="C90" i="21" s="1"/>
  <c r="C97" i="21" s="1"/>
  <c r="D42" i="20"/>
  <c r="D41" i="20"/>
  <c r="D40" i="20"/>
  <c r="D39" i="20"/>
  <c r="D38" i="20"/>
  <c r="D37" i="20"/>
  <c r="D33" i="20"/>
  <c r="C33" i="20"/>
  <c r="C32" i="20"/>
  <c r="D32" i="20" s="1"/>
  <c r="C31" i="20"/>
  <c r="D31" i="20" s="1"/>
  <c r="C30" i="20"/>
  <c r="D30" i="20" s="1"/>
  <c r="D29" i="20"/>
  <c r="C29" i="20"/>
  <c r="D25" i="20"/>
  <c r="C47" i="14" s="1"/>
  <c r="D20" i="20"/>
  <c r="D19" i="20"/>
  <c r="D21" i="20" s="1"/>
  <c r="C45" i="14" s="1"/>
  <c r="A17" i="20"/>
  <c r="E10" i="20"/>
  <c r="C14" i="20" s="1"/>
  <c r="E6" i="20"/>
  <c r="B14" i="20" s="1"/>
  <c r="D14" i="20" s="1"/>
  <c r="C44" i="14" s="1"/>
  <c r="D13" i="14"/>
  <c r="C118" i="19"/>
  <c r="C115" i="19"/>
  <c r="C116" i="19" s="1"/>
  <c r="C78" i="19"/>
  <c r="C84" i="19" s="1"/>
  <c r="C64" i="19"/>
  <c r="C31" i="19"/>
  <c r="C37" i="19" s="1"/>
  <c r="C23" i="19"/>
  <c r="D11" i="19"/>
  <c r="C11" i="19"/>
  <c r="F89" i="19" s="1"/>
  <c r="D42" i="4"/>
  <c r="D41" i="4"/>
  <c r="D40" i="4"/>
  <c r="D39" i="4"/>
  <c r="D38" i="4"/>
  <c r="D37" i="4"/>
  <c r="C33" i="4"/>
  <c r="D33" i="4" s="1"/>
  <c r="C32" i="4"/>
  <c r="D32" i="4" s="1"/>
  <c r="C31" i="4"/>
  <c r="D31" i="4" s="1"/>
  <c r="C30" i="4"/>
  <c r="D30" i="4" s="1"/>
  <c r="C29" i="4"/>
  <c r="D29" i="4" s="1"/>
  <c r="D25" i="4"/>
  <c r="C45" i="3" s="1"/>
  <c r="C47" i="22" s="1"/>
  <c r="D20" i="4"/>
  <c r="D19" i="4"/>
  <c r="C14" i="4"/>
  <c r="E10" i="4"/>
  <c r="E6" i="4"/>
  <c r="B14" i="4" s="1"/>
  <c r="C12" i="21" l="1"/>
  <c r="D79" i="21" s="1"/>
  <c r="C38" i="22"/>
  <c r="D38" i="29"/>
  <c r="E13" i="25"/>
  <c r="C14" i="25" s="1"/>
  <c r="E11" i="25"/>
  <c r="D36" i="29"/>
  <c r="D40" i="29"/>
  <c r="C58" i="29" s="1"/>
  <c r="C60" i="29" s="1"/>
  <c r="B46" i="20"/>
  <c r="C46" i="20" s="1"/>
  <c r="C106" i="14" s="1"/>
  <c r="D33" i="31"/>
  <c r="C56" i="31"/>
  <c r="D38" i="31"/>
  <c r="D34" i="31"/>
  <c r="D31" i="31"/>
  <c r="D35" i="31"/>
  <c r="D32" i="31"/>
  <c r="D39" i="31"/>
  <c r="C57" i="31" s="1"/>
  <c r="D36" i="31"/>
  <c r="D37" i="31"/>
  <c r="D71" i="31"/>
  <c r="C133" i="31" s="1"/>
  <c r="C129" i="27"/>
  <c r="C133" i="27" s="1"/>
  <c r="D116" i="27"/>
  <c r="C71" i="25"/>
  <c r="C87" i="25" s="1"/>
  <c r="C110" i="22"/>
  <c r="C134" i="22" s="1"/>
  <c r="C24" i="22"/>
  <c r="F90" i="19"/>
  <c r="F91" i="19" s="1"/>
  <c r="F92" i="19" s="1"/>
  <c r="C90" i="19" s="1"/>
  <c r="C91" i="19" s="1"/>
  <c r="C98" i="19" s="1"/>
  <c r="C12" i="22"/>
  <c r="C14" i="22" s="1"/>
  <c r="D10" i="22"/>
  <c r="E10" i="22" s="1"/>
  <c r="E11" i="22" s="1"/>
  <c r="E12" i="22" s="1"/>
  <c r="C13" i="22" s="1"/>
  <c r="C124" i="22"/>
  <c r="C68" i="21"/>
  <c r="E36" i="21"/>
  <c r="D64" i="21"/>
  <c r="D80" i="21"/>
  <c r="D34" i="20"/>
  <c r="C107" i="14" s="1"/>
  <c r="E37" i="19"/>
  <c r="C67" i="19"/>
  <c r="D10" i="19"/>
  <c r="E10" i="19" s="1"/>
  <c r="C123" i="19"/>
  <c r="D34" i="4"/>
  <c r="C105" i="21" s="1"/>
  <c r="D14" i="4"/>
  <c r="D21" i="4"/>
  <c r="B46" i="4"/>
  <c r="C46" i="4" s="1"/>
  <c r="C104" i="21" s="1"/>
  <c r="C108" i="21" s="1"/>
  <c r="C132" i="21" s="1"/>
  <c r="C105" i="3"/>
  <c r="D120" i="29" l="1"/>
  <c r="C133" i="29"/>
  <c r="C137" i="29" s="1"/>
  <c r="D118" i="29" s="1"/>
  <c r="D63" i="21"/>
  <c r="D21" i="21"/>
  <c r="C128" i="21"/>
  <c r="C84" i="21"/>
  <c r="C13" i="25"/>
  <c r="C15" i="25" s="1"/>
  <c r="E12" i="25"/>
  <c r="D20" i="21"/>
  <c r="D62" i="21"/>
  <c r="D65" i="21"/>
  <c r="D81" i="21"/>
  <c r="C42" i="3"/>
  <c r="C44" i="22" s="1"/>
  <c r="C57" i="22" s="1"/>
  <c r="C42" i="21"/>
  <c r="C55" i="21" s="1"/>
  <c r="D22" i="21"/>
  <c r="C53" i="21" s="1"/>
  <c r="D77" i="21"/>
  <c r="D82" i="21"/>
  <c r="C43" i="3"/>
  <c r="C45" i="22" s="1"/>
  <c r="C43" i="21"/>
  <c r="D78" i="21"/>
  <c r="D66" i="21"/>
  <c r="D68" i="21" s="1"/>
  <c r="C130" i="21" s="1"/>
  <c r="D83" i="21"/>
  <c r="C96" i="21" s="1"/>
  <c r="C98" i="21" s="1"/>
  <c r="C131" i="21" s="1"/>
  <c r="D67" i="21"/>
  <c r="C59" i="31"/>
  <c r="D114" i="27"/>
  <c r="D115" i="27" s="1"/>
  <c r="D117" i="27" s="1"/>
  <c r="C130" i="22"/>
  <c r="D84" i="22"/>
  <c r="D80" i="22"/>
  <c r="D66" i="22"/>
  <c r="D22" i="22"/>
  <c r="D83" i="22"/>
  <c r="D81" i="22"/>
  <c r="D69" i="22"/>
  <c r="D67" i="22"/>
  <c r="D23" i="22"/>
  <c r="D82" i="22"/>
  <c r="D64" i="22"/>
  <c r="D24" i="22"/>
  <c r="D32" i="21"/>
  <c r="D28" i="21"/>
  <c r="D36" i="21"/>
  <c r="C54" i="21" s="1"/>
  <c r="D33" i="21"/>
  <c r="D29" i="21"/>
  <c r="D31" i="21"/>
  <c r="D34" i="21"/>
  <c r="D30" i="21"/>
  <c r="E11" i="19"/>
  <c r="C69" i="19"/>
  <c r="C85" i="19" s="1"/>
  <c r="C104" i="3"/>
  <c r="C32" i="14"/>
  <c r="C116" i="14"/>
  <c r="C116" i="10"/>
  <c r="A17" i="16"/>
  <c r="D20" i="16"/>
  <c r="D19" i="16"/>
  <c r="D12" i="10"/>
  <c r="D84" i="25" l="1"/>
  <c r="D65" i="25"/>
  <c r="D69" i="25"/>
  <c r="D82" i="25"/>
  <c r="D85" i="25"/>
  <c r="D80" i="25"/>
  <c r="D23" i="25"/>
  <c r="D67" i="25"/>
  <c r="D86" i="25"/>
  <c r="C99" i="25" s="1"/>
  <c r="C101" i="25" s="1"/>
  <c r="C134" i="25" s="1"/>
  <c r="D83" i="25"/>
  <c r="D70" i="25"/>
  <c r="C131" i="25"/>
  <c r="D81" i="25"/>
  <c r="D68" i="25"/>
  <c r="D25" i="25"/>
  <c r="D24" i="25"/>
  <c r="D66" i="25"/>
  <c r="D35" i="21"/>
  <c r="C132" i="31"/>
  <c r="C136" i="31" s="1"/>
  <c r="D119" i="31"/>
  <c r="D119" i="29"/>
  <c r="D124" i="29" s="1"/>
  <c r="D121" i="27"/>
  <c r="D120" i="27"/>
  <c r="D118" i="27"/>
  <c r="D119" i="27"/>
  <c r="C55" i="22"/>
  <c r="D35" i="22"/>
  <c r="D31" i="22"/>
  <c r="D38" i="22"/>
  <c r="C56" i="22" s="1"/>
  <c r="D36" i="22"/>
  <c r="D34" i="22"/>
  <c r="D32" i="22"/>
  <c r="D30" i="22"/>
  <c r="D37" i="22"/>
  <c r="D33" i="22"/>
  <c r="C56" i="21"/>
  <c r="E12" i="19"/>
  <c r="C47" i="10"/>
  <c r="D21" i="16"/>
  <c r="C44" i="19" s="1"/>
  <c r="D34" i="25" l="1"/>
  <c r="D39" i="25"/>
  <c r="C57" i="25" s="1"/>
  <c r="D32" i="25"/>
  <c r="D33" i="25"/>
  <c r="D35" i="25"/>
  <c r="D37" i="25"/>
  <c r="D36" i="25"/>
  <c r="C56" i="25"/>
  <c r="C59" i="25" s="1"/>
  <c r="D119" i="25" s="1"/>
  <c r="D38" i="25"/>
  <c r="D31" i="25"/>
  <c r="D71" i="25"/>
  <c r="C133" i="25" s="1"/>
  <c r="D117" i="31"/>
  <c r="D121" i="29"/>
  <c r="D123" i="29"/>
  <c r="D122" i="29"/>
  <c r="D125" i="29"/>
  <c r="D122" i="27"/>
  <c r="C134" i="27" s="1"/>
  <c r="C135" i="27" s="1"/>
  <c r="C137" i="27" s="1"/>
  <c r="F31" i="11" s="1"/>
  <c r="G31" i="11" s="1"/>
  <c r="C58" i="22"/>
  <c r="C129" i="21"/>
  <c r="C133" i="21" s="1"/>
  <c r="D116" i="21"/>
  <c r="C13" i="19"/>
  <c r="D78" i="19" s="1"/>
  <c r="C45" i="10"/>
  <c r="C44" i="10"/>
  <c r="C106" i="10"/>
  <c r="C107" i="10"/>
  <c r="C132" i="25" l="1"/>
  <c r="C136" i="25" s="1"/>
  <c r="D117" i="25" s="1"/>
  <c r="D118" i="25" s="1"/>
  <c r="D121" i="25" s="1"/>
  <c r="D118" i="31"/>
  <c r="D121" i="31" s="1"/>
  <c r="D126" i="29"/>
  <c r="C138" i="29" s="1"/>
  <c r="C139" i="29" s="1"/>
  <c r="C141" i="29" s="1"/>
  <c r="F38" i="11" s="1"/>
  <c r="C131" i="22"/>
  <c r="D114" i="21"/>
  <c r="D80" i="19"/>
  <c r="D65" i="19"/>
  <c r="D84" i="19"/>
  <c r="C97" i="19" s="1"/>
  <c r="C99" i="19" s="1"/>
  <c r="C132" i="19" s="1"/>
  <c r="C129" i="19"/>
  <c r="D67" i="19"/>
  <c r="D63" i="19"/>
  <c r="D23" i="19"/>
  <c r="D32" i="19" s="1"/>
  <c r="D82" i="19"/>
  <c r="D64" i="19"/>
  <c r="D66" i="19"/>
  <c r="D68" i="19"/>
  <c r="D79" i="19"/>
  <c r="D22" i="19"/>
  <c r="D81" i="19"/>
  <c r="D21" i="19"/>
  <c r="D83" i="19"/>
  <c r="D37" i="19"/>
  <c r="C55" i="19" s="1"/>
  <c r="D120" i="31" l="1"/>
  <c r="D123" i="31"/>
  <c r="D124" i="31"/>
  <c r="D122" i="31"/>
  <c r="D124" i="25"/>
  <c r="D120" i="25"/>
  <c r="D122" i="25"/>
  <c r="D123" i="25"/>
  <c r="D29" i="19"/>
  <c r="D35" i="19"/>
  <c r="C54" i="19"/>
  <c r="D33" i="19"/>
  <c r="D69" i="19"/>
  <c r="C131" i="19" s="1"/>
  <c r="D34" i="19"/>
  <c r="D36" i="19"/>
  <c r="D31" i="19"/>
  <c r="D30" i="19"/>
  <c r="D115" i="21"/>
  <c r="D121" i="21" s="1"/>
  <c r="D125" i="31" l="1"/>
  <c r="C137" i="31" s="1"/>
  <c r="C138" i="31" s="1"/>
  <c r="C140" i="31" s="1"/>
  <c r="F51" i="11" s="1"/>
  <c r="G51" i="11" s="1"/>
  <c r="D125" i="25"/>
  <c r="C137" i="25" s="1"/>
  <c r="C138" i="25" s="1"/>
  <c r="C140" i="25" s="1"/>
  <c r="F17" i="11" s="1"/>
  <c r="D119" i="21"/>
  <c r="D117" i="21"/>
  <c r="D120" i="21"/>
  <c r="D118" i="21"/>
  <c r="D122" i="21" l="1"/>
  <c r="C134" i="21" s="1"/>
  <c r="C135" i="21" s="1"/>
  <c r="C137" i="21" s="1"/>
  <c r="E10" i="16"/>
  <c r="C14" i="16" s="1"/>
  <c r="C119" i="14"/>
  <c r="C117" i="14"/>
  <c r="C79" i="14"/>
  <c r="C85" i="14" s="1"/>
  <c r="C65" i="14"/>
  <c r="C38" i="14"/>
  <c r="C24" i="14"/>
  <c r="C11" i="14"/>
  <c r="E6" i="16"/>
  <c r="B14" i="16" s="1"/>
  <c r="D42" i="16"/>
  <c r="D41" i="16"/>
  <c r="D40" i="16"/>
  <c r="D39" i="16"/>
  <c r="D38" i="16"/>
  <c r="D37" i="16"/>
  <c r="C33" i="16"/>
  <c r="D33" i="16" s="1"/>
  <c r="C32" i="16"/>
  <c r="D32" i="16" s="1"/>
  <c r="C31" i="16"/>
  <c r="D31" i="16" s="1"/>
  <c r="C30" i="16"/>
  <c r="D30" i="16" s="1"/>
  <c r="C29" i="16"/>
  <c r="D29" i="16" s="1"/>
  <c r="D25" i="16"/>
  <c r="C46" i="19" s="1"/>
  <c r="C63" i="3"/>
  <c r="C65" i="22" s="1"/>
  <c r="C77" i="3"/>
  <c r="C79" i="22" s="1"/>
  <c r="D65" i="22" l="1"/>
  <c r="C85" i="22"/>
  <c r="D85" i="22" s="1"/>
  <c r="C98" i="22" s="1"/>
  <c r="C100" i="22" s="1"/>
  <c r="C133" i="22" s="1"/>
  <c r="D79" i="22"/>
  <c r="G38" i="11"/>
  <c r="F90" i="14"/>
  <c r="F91" i="14" s="1"/>
  <c r="F92" i="14" s="1"/>
  <c r="D10" i="14"/>
  <c r="E10" i="14" s="1"/>
  <c r="E38" i="14"/>
  <c r="C124" i="14"/>
  <c r="D34" i="16"/>
  <c r="C106" i="19" s="1"/>
  <c r="B46" i="16"/>
  <c r="C46" i="16" s="1"/>
  <c r="C105" i="19" s="1"/>
  <c r="C68" i="14"/>
  <c r="D14" i="16"/>
  <c r="C43" i="19" s="1"/>
  <c r="C56" i="19" s="1"/>
  <c r="C57" i="19" s="1"/>
  <c r="C64" i="10"/>
  <c r="C66" i="10"/>
  <c r="C67" i="10"/>
  <c r="C69" i="10"/>
  <c r="F93" i="14" l="1"/>
  <c r="C91" i="14" s="1"/>
  <c r="C92" i="14" s="1"/>
  <c r="C99" i="14" s="1"/>
  <c r="C109" i="19"/>
  <c r="C133" i="19" s="1"/>
  <c r="C130" i="19"/>
  <c r="E11" i="14"/>
  <c r="E13" i="14"/>
  <c r="C57" i="14"/>
  <c r="C70" i="14"/>
  <c r="C86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D117" i="19" l="1"/>
  <c r="C134" i="19"/>
  <c r="D115" i="19" s="1"/>
  <c r="C110" i="14"/>
  <c r="C134" i="14" s="1"/>
  <c r="E12" i="14"/>
  <c r="C13" i="14" s="1"/>
  <c r="C12" i="14"/>
  <c r="C14" i="14" s="1"/>
  <c r="C117" i="10"/>
  <c r="C85" i="10"/>
  <c r="C119" i="10"/>
  <c r="C38" i="10"/>
  <c r="C11" i="10"/>
  <c r="D116" i="19" l="1"/>
  <c r="E90" i="10"/>
  <c r="E93" i="10" s="1"/>
  <c r="E94" i="10" s="1"/>
  <c r="E95" i="10" s="1"/>
  <c r="D10" i="10"/>
  <c r="E10" i="10" s="1"/>
  <c r="E11" i="10" s="1"/>
  <c r="C124" i="10"/>
  <c r="D119" i="19" l="1"/>
  <c r="D122" i="19"/>
  <c r="D120" i="19"/>
  <c r="D118" i="19"/>
  <c r="D121" i="19"/>
  <c r="D23" i="14"/>
  <c r="D66" i="14"/>
  <c r="D80" i="14"/>
  <c r="D81" i="14"/>
  <c r="D85" i="14"/>
  <c r="C98" i="14" s="1"/>
  <c r="C100" i="14" s="1"/>
  <c r="C133" i="14" s="1"/>
  <c r="D83" i="14"/>
  <c r="D22" i="14"/>
  <c r="D68" i="14"/>
  <c r="D65" i="14"/>
  <c r="D69" i="14"/>
  <c r="D84" i="14"/>
  <c r="D24" i="14"/>
  <c r="D82" i="14"/>
  <c r="D79" i="14"/>
  <c r="C130" i="14"/>
  <c r="D64" i="14"/>
  <c r="D67" i="14"/>
  <c r="C91" i="10"/>
  <c r="C92" i="10" s="1"/>
  <c r="E12" i="10"/>
  <c r="C13" i="10" s="1"/>
  <c r="C12" i="10"/>
  <c r="C14" i="10"/>
  <c r="D66" i="10" s="1"/>
  <c r="C11" i="3"/>
  <c r="F88" i="3" s="1"/>
  <c r="F89" i="3" s="1"/>
  <c r="F90" i="3" s="1"/>
  <c r="F91" i="3" s="1"/>
  <c r="D123" i="19" l="1"/>
  <c r="C135" i="19" s="1"/>
  <c r="C136" i="19" s="1"/>
  <c r="C138" i="19" s="1"/>
  <c r="C89" i="3"/>
  <c r="C90" i="3" s="1"/>
  <c r="D35" i="14"/>
  <c r="D32" i="14"/>
  <c r="D33" i="14"/>
  <c r="D38" i="14"/>
  <c r="C56" i="14" s="1"/>
  <c r="D36" i="14"/>
  <c r="D37" i="14"/>
  <c r="D30" i="14"/>
  <c r="C55" i="14"/>
  <c r="D31" i="14"/>
  <c r="D34" i="14"/>
  <c r="D70" i="14"/>
  <c r="C132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58" i="14" l="1"/>
  <c r="C131" i="14" s="1"/>
  <c r="C135" i="14" s="1"/>
  <c r="D118" i="14" l="1"/>
  <c r="D116" i="14"/>
  <c r="D117" i="14" l="1"/>
  <c r="C108" i="3"/>
  <c r="C132" i="3" s="1"/>
  <c r="D119" i="14" l="1"/>
  <c r="D121" i="14"/>
  <c r="D123" i="14"/>
  <c r="D122" i="14"/>
  <c r="D120" i="14"/>
  <c r="C110" i="10"/>
  <c r="C134" i="10" s="1"/>
  <c r="C117" i="3"/>
  <c r="C122" i="3" s="1"/>
  <c r="C97" i="3"/>
  <c r="C65" i="10"/>
  <c r="C36" i="3"/>
  <c r="C66" i="3" s="1"/>
  <c r="C68" i="22" s="1"/>
  <c r="D68" i="22" l="1"/>
  <c r="D70" i="22" s="1"/>
  <c r="C70" i="22"/>
  <c r="D124" i="14"/>
  <c r="C136" i="14" s="1"/>
  <c r="C137" i="14" s="1"/>
  <c r="C139" i="14" s="1"/>
  <c r="F10" i="11" s="1"/>
  <c r="G10" i="11" s="1"/>
  <c r="C68" i="3"/>
  <c r="C68" i="10"/>
  <c r="D68" i="10" s="1"/>
  <c r="D65" i="10"/>
  <c r="C132" i="22" l="1"/>
  <c r="C135" i="22" s="1"/>
  <c r="D118" i="22"/>
  <c r="F24" i="11"/>
  <c r="G24" i="11" s="1"/>
  <c r="G17" i="11"/>
  <c r="D70" i="10"/>
  <c r="C132" i="10" s="1"/>
  <c r="C70" i="10"/>
  <c r="C12" i="3"/>
  <c r="D77" i="3" s="1"/>
  <c r="D116" i="22" l="1"/>
  <c r="D117" i="22"/>
  <c r="D121" i="22" s="1"/>
  <c r="D119" i="22"/>
  <c r="D122" i="22"/>
  <c r="D123" i="22"/>
  <c r="D120" i="22"/>
  <c r="D64" i="3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124" i="22" l="1"/>
  <c r="C136" i="22" s="1"/>
  <c r="C137" i="22" s="1"/>
  <c r="C139" i="22" s="1"/>
  <c r="D68" i="3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F37" i="11" l="1"/>
  <c r="G37" i="11" s="1"/>
  <c r="G39" i="11" s="1"/>
  <c r="G40" i="11" s="1"/>
  <c r="G41" i="11" s="1"/>
  <c r="F30" i="11"/>
  <c r="G30" i="11" s="1"/>
  <c r="G32" i="11" s="1"/>
  <c r="G33" i="11" s="1"/>
  <c r="G34" i="11" s="1"/>
  <c r="D32" i="10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50" i="11" l="1"/>
  <c r="G50" i="11" s="1"/>
  <c r="G52" i="11" s="1"/>
  <c r="G53" i="11" s="1"/>
  <c r="G54" i="11" s="1"/>
  <c r="F44" i="11"/>
  <c r="G44" i="11" s="1"/>
  <c r="G45" i="11" s="1"/>
  <c r="G46" i="11" s="1"/>
  <c r="G47" i="11" s="1"/>
  <c r="F9" i="11"/>
  <c r="G9" i="11" s="1"/>
  <c r="G11" i="11" s="1"/>
  <c r="F23" i="11"/>
  <c r="F16" i="11"/>
  <c r="G16" i="11" s="1"/>
  <c r="G18" i="11" s="1"/>
  <c r="G19" i="11" s="1"/>
  <c r="G20" i="11" s="1"/>
  <c r="G23" i="11" l="1"/>
  <c r="G12" i="11"/>
  <c r="G13" i="11" s="1"/>
  <c r="G25" i="11" l="1"/>
  <c r="G26" i="11" s="1"/>
  <c r="G27" i="11" s="1"/>
  <c r="G58" i="11" s="1"/>
</calcChain>
</file>

<file path=xl/comments1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Rams</author>
  </authors>
  <commentList>
    <comment ref="B46" authorId="0">
      <text>
        <r>
          <rPr>
            <b/>
            <sz val="9"/>
            <color indexed="81"/>
            <rFont val="Tahoma"/>
            <family val="2"/>
          </rPr>
          <t>Rams: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5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6.xml><?xml version="1.0" encoding="utf-8"?>
<comments xmlns="http://schemas.openxmlformats.org/spreadsheetml/2006/main">
  <authors>
    <author>Gabriel Palácio</author>
    <author>I1074249</author>
    <author>infra</author>
    <author>Cassia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  <comment ref="C53" authorId="1">
      <text>
        <r>
          <rPr>
            <b/>
            <sz val="8"/>
            <color indexed="81"/>
            <rFont val="Tahoma"/>
            <family val="2"/>
          </rPr>
          <t>Qtd. de Km por mês</t>
        </r>
      </text>
    </comment>
    <comment ref="H53" authorId="2">
      <text>
        <r>
          <rPr>
            <sz val="8"/>
            <color indexed="81"/>
            <rFont val="Tahoma"/>
            <family val="2"/>
          </rPr>
          <t>Valor para cálculo de Manutenção e Peças</t>
        </r>
      </text>
    </comment>
    <comment ref="D59" authorId="1">
      <text>
        <r>
          <rPr>
            <b/>
            <sz val="8"/>
            <color indexed="81"/>
            <rFont val="Tahoma"/>
            <family val="2"/>
          </rPr>
          <t>Veículos:                 45.000
Ônibus e Cam.:      80.000</t>
        </r>
      </text>
    </comment>
    <comment ref="E59" authorId="1">
      <text>
        <r>
          <rPr>
            <b/>
            <sz val="8"/>
            <color indexed="81"/>
            <rFont val="Tahoma"/>
            <family val="2"/>
          </rPr>
          <t>Inserir o preço referente a 1 pneu</t>
        </r>
      </text>
    </comment>
    <comment ref="D60" authorId="1">
      <text>
        <r>
          <rPr>
            <sz val="8"/>
            <color indexed="81"/>
            <rFont val="Tahoma"/>
            <family val="2"/>
          </rPr>
          <t>Média de 30 Km / L</t>
        </r>
      </text>
    </comment>
    <comment ref="E60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1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2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3" authorId="1">
      <text>
        <r>
          <rPr>
            <b/>
            <sz val="8"/>
            <color indexed="81"/>
            <rFont val="Tahoma"/>
            <family val="2"/>
          </rPr>
          <t>Inserir o preço referente a uma lavagem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8"/>
            <color indexed="81"/>
            <rFont val="Tahoma"/>
            <family val="2"/>
          </rPr>
          <t>Mínimo 4
Máximo 8</t>
        </r>
      </text>
    </comment>
    <comment ref="E64" authorId="1">
      <text>
        <r>
          <rPr>
            <b/>
            <sz val="8"/>
            <color indexed="81"/>
            <rFont val="Tahoma"/>
            <family val="2"/>
          </rPr>
          <t>Inserir o preço referente a 1 amortecedor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" authorId="2">
      <text>
        <r>
          <rPr>
            <b/>
            <sz val="8"/>
            <color indexed="81"/>
            <rFont val="Tahoma"/>
            <family val="2"/>
          </rPr>
          <t>Informar a Quilometragem prevista entre as manutenções. 
Ver manual do veículo.</t>
        </r>
      </text>
    </comment>
    <comment ref="C71" authorId="3">
      <text>
        <r>
          <rPr>
            <b/>
            <sz val="8"/>
            <color indexed="81"/>
            <rFont val="Tahoma"/>
            <family val="2"/>
          </rPr>
          <t>Estima-se 3 % sobre o valor do veículo.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8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9.xml><?xml version="1.0" encoding="utf-8"?>
<comments xmlns="http://schemas.openxmlformats.org/spreadsheetml/2006/main">
  <authors>
    <author>Gabriel Palácio</author>
    <author>I1074249</author>
    <author>infra</author>
    <author>Cassia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  <comment ref="C53" authorId="1">
      <text>
        <r>
          <rPr>
            <b/>
            <sz val="8"/>
            <color indexed="81"/>
            <rFont val="Tahoma"/>
            <family val="2"/>
          </rPr>
          <t>Qtd. de Km por mês</t>
        </r>
      </text>
    </comment>
    <comment ref="H53" authorId="2">
      <text>
        <r>
          <rPr>
            <sz val="8"/>
            <color indexed="81"/>
            <rFont val="Tahoma"/>
            <family val="2"/>
          </rPr>
          <t>Valor para cálculo de Manutenção e Peças</t>
        </r>
      </text>
    </comment>
    <comment ref="D59" authorId="1">
      <text>
        <r>
          <rPr>
            <b/>
            <sz val="8"/>
            <color indexed="81"/>
            <rFont val="Tahoma"/>
            <family val="2"/>
          </rPr>
          <t>Veículos:                 45.000
Ônibus e Cam.:      80.000</t>
        </r>
      </text>
    </comment>
    <comment ref="E59" authorId="1">
      <text>
        <r>
          <rPr>
            <b/>
            <sz val="8"/>
            <color indexed="81"/>
            <rFont val="Tahoma"/>
            <family val="2"/>
          </rPr>
          <t>Inserir o preço referente a 1 pneu</t>
        </r>
      </text>
    </comment>
    <comment ref="D60" authorId="1">
      <text>
        <r>
          <rPr>
            <sz val="8"/>
            <color indexed="81"/>
            <rFont val="Tahoma"/>
            <family val="2"/>
          </rPr>
          <t>Média de 30 Km / L</t>
        </r>
      </text>
    </comment>
    <comment ref="E60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1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2" authorId="1">
      <text>
        <r>
          <rPr>
            <b/>
            <sz val="8"/>
            <color indexed="81"/>
            <rFont val="Tahoma"/>
            <family val="2"/>
          </rPr>
          <t xml:space="preserve">Veículos: 20.000
Ônibus e Cam.: 30.000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1">
      <text>
        <r>
          <rPr>
            <b/>
            <sz val="8"/>
            <color indexed="81"/>
            <rFont val="Tahoma"/>
            <family val="2"/>
          </rPr>
          <t>Inserir o preço referente a 1 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3" authorId="1">
      <text>
        <r>
          <rPr>
            <b/>
            <sz val="8"/>
            <color indexed="81"/>
            <rFont val="Tahoma"/>
            <family val="2"/>
          </rPr>
          <t>Inserir o preço referente a uma lavagem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8"/>
            <color indexed="81"/>
            <rFont val="Tahoma"/>
            <family val="2"/>
          </rPr>
          <t>Mínimo 4
Máximo 8</t>
        </r>
      </text>
    </comment>
    <comment ref="E64" authorId="1">
      <text>
        <r>
          <rPr>
            <b/>
            <sz val="8"/>
            <color indexed="81"/>
            <rFont val="Tahoma"/>
            <family val="2"/>
          </rPr>
          <t>Inserir o preço referente a 1 amortecedor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" authorId="2">
      <text>
        <r>
          <rPr>
            <b/>
            <sz val="8"/>
            <color indexed="81"/>
            <rFont val="Tahoma"/>
            <family val="2"/>
          </rPr>
          <t>Informar a Quilometragem prevista entre as manutenções. 
Ver manual do veículo.</t>
        </r>
      </text>
    </comment>
    <comment ref="C71" authorId="3">
      <text>
        <r>
          <rPr>
            <b/>
            <sz val="8"/>
            <color indexed="81"/>
            <rFont val="Tahoma"/>
            <family val="2"/>
          </rPr>
          <t>Estima-se 3 % sobre o valor do veículo.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<sst xmlns="http://schemas.openxmlformats.org/spreadsheetml/2006/main" count="2293" uniqueCount="220">
  <si>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</si>
  <si>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</si>
  <si>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</si>
  <si>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</si>
  <si>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</si>
  <si>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</si>
  <si>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</si>
  <si>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</si>
  <si>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</si>
  <si>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</si>
  <si>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</si>
  <si>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</si>
  <si>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</si>
  <si>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</si>
  <si>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</si>
  <si>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</si>
  <si>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</si>
  <si>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</si>
  <si>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</si>
  <si>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</si>
  <si>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</si>
  <si>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</si>
  <si>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</si>
  <si>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</si>
  <si>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</si>
  <si>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</si>
  <si>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</si>
  <si>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</si>
  <si>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</si>
  <si>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</si>
  <si>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</si>
  <si>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</si>
  <si>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</si>
  <si>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</si>
  <si>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</si>
  <si>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</si>
  <si>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</si>
  <si>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</si>
  <si>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</si>
  <si>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</si>
  <si>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</si>
  <si>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</si>
  <si>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</si>
  <si>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</si>
  <si>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</si>
  <si>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</si>
  <si>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</si>
  <si>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</si>
  <si>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</si>
  <si>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</si>
  <si>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</si>
  <si>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</si>
  <si>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</si>
  <si>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</si>
  <si>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</si>
  <si>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</si>
  <si>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</si>
  <si>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</si>
  <si>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</si>
  <si>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</si>
  <si>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</si>
  <si>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</si>
  <si>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</si>
  <si>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</si>
  <si>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</si>
  <si>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</si>
  <si>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</si>
  <si>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</si>
  <si>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</si>
  <si>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</si>
  <si>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</si>
  <si>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</si>
  <si>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</si>
  <si>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</si>
  <si>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</si>
  <si>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</si>
  <si>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</si>
  <si>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</si>
  <si>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</si>
  <si>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</si>
  <si>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</si>
  <si>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</si>
  <si>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</si>
  <si>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</si>
  <si>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</si>
  <si>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</si>
  <si>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</si>
  <si>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</si>
  <si>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</si>
  <si>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</si>
  <si>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</si>
  <si>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</si>
  <si>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</si>
  <si>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</si>
  <si>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</si>
  <si>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</si>
  <si>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</si>
  <si>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</si>
  <si>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</si>
  <si>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</si>
  <si>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</si>
  <si>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</si>
  <si>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</si>
  <si>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</si>
  <si>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</si>
  <si>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</si>
  <si>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</si>
  <si>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</si>
  <si>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</si>
  <si>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</si>
  <si>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</si>
  <si>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</si>
  <si>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</si>
  <si>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</si>
  <si>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</si>
  <si>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</si>
  <si>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</si>
  <si>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</si>
  <si>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</si>
  <si>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</si>
  <si>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</si>
  <si>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</si>
  <si>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</si>
  <si>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</si>
  <si>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</si>
  <si>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</si>
  <si>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</si>
  <si>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</si>
  <si>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</si>
  <si>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</si>
  <si>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</si>
  <si>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</si>
  <si>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</si>
  <si>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</si>
  <si>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</si>
  <si>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</si>
  <si>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</si>
  <si>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</si>
  <si>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</si>
  <si>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</si>
  <si>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</si>
  <si>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</si>
  <si>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</si>
  <si>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</si>
  <si>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</si>
  <si>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</si>
  <si>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</si>
  <si>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</si>
  <si>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</si>
  <si>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</si>
  <si>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</si>
  <si>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</si>
  <si>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</si>
  <si>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</si>
  <si>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</si>
  <si>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</si>
  <si>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</si>
  <si>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</si>
  <si>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</si>
  <si>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</si>
  <si>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</si>
  <si>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</si>
  <si>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</si>
  <si>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</si>
  <si>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</si>
  <si>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Posto Seg Sex</t>
  </si>
  <si>
    <t>VIGILANTE DIURNO - POSTO - 15 Horas Seg à Sexta e 10 horas Sábados</t>
  </si>
  <si>
    <t>VIGILANTE DIURNO - POSTO - 16 Horas Seg à Sexta e 11 horas Sábados</t>
  </si>
  <si>
    <t>Adicional de Função - Líder</t>
  </si>
  <si>
    <t>CUSTO EFETIVO DO VALE TRANSPORTE - SEGUNDA À SEXTA</t>
  </si>
  <si>
    <t>L13 (LARGO TREZE) Rua Doutor Antonio Bento, 393 - São Paulo/SP</t>
  </si>
  <si>
    <t>Segunda à Sexta Feira das 9h00 às 23h00 e Sábado das 8h00 às 18h00</t>
  </si>
  <si>
    <t xml:space="preserve">PRI (JD. PRIMAVERA) Av. Manuel Alves Soares, 1100 - São Paulo/SP  </t>
  </si>
  <si>
    <t>Segunda a Sexta Feira das 15h00 às 23h00 (Motorizado)- Aproximadamente 10Km/ dia- Moto modelo Bros 150 cilindradas</t>
  </si>
  <si>
    <t>JBQ (JABAQUARA) Avenida do Café, 298 - São Paulo/SP</t>
  </si>
  <si>
    <t xml:space="preserve">Segunda à Sexta Feira das 8h às 23h e aos Sábados das 8h às 18h </t>
  </si>
  <si>
    <t>Segunda à Sexta Feira das 7h00 às 23h00</t>
  </si>
  <si>
    <t>Seg. à Sexta das 6:00 às 23:00 e Sábado das 6:00 às 18:00</t>
  </si>
  <si>
    <t>SENAC JANGADEIRO - Avenida do Jangadeiro - Interlagos - São Paulo/SP</t>
  </si>
  <si>
    <t>Seg. à Sexta das 17:00 às 23:00 (Motorizado) - Aproximadamente  10Km/dia - Moto Honda Bros modelo NXR160</t>
  </si>
  <si>
    <t>Adicional de Função</t>
  </si>
  <si>
    <t>Motocicleta</t>
  </si>
  <si>
    <t>DESPESAS OPERACIONAIS COM VEÍCULO:</t>
  </si>
  <si>
    <t>Média Mensal de Utilização do Veículo em Km:</t>
  </si>
  <si>
    <t xml:space="preserve">   km</t>
  </si>
  <si>
    <t>Valor do Veículo:</t>
  </si>
  <si>
    <t>CUSTOS VARIÁVEIS</t>
  </si>
  <si>
    <t xml:space="preserve">               Item                                         </t>
  </si>
  <si>
    <t>Qtd.</t>
  </si>
  <si>
    <t>Medida</t>
  </si>
  <si>
    <t>Consumo</t>
  </si>
  <si>
    <t>Preço R$</t>
  </si>
  <si>
    <t>Custo/Km</t>
  </si>
  <si>
    <t>Custo Final</t>
  </si>
  <si>
    <t>Soma</t>
  </si>
  <si>
    <t>Pneus e Câmaras</t>
  </si>
  <si>
    <t>un</t>
  </si>
  <si>
    <t>Combustível</t>
  </si>
  <si>
    <t>lt</t>
  </si>
  <si>
    <t>Freio</t>
  </si>
  <si>
    <t>Graxa</t>
  </si>
  <si>
    <t>Lavagem</t>
  </si>
  <si>
    <t>Amortecedor</t>
  </si>
  <si>
    <t>Manutenção e Peças</t>
  </si>
  <si>
    <t>CUSTOS FIXOS</t>
  </si>
  <si>
    <t>Custo Anual</t>
  </si>
  <si>
    <t>Custo Mensal</t>
  </si>
  <si>
    <t>Licenciamento (IPVA+Seg. Obrig.+Licenciamento)</t>
  </si>
  <si>
    <t>Seguro:</t>
  </si>
  <si>
    <t>TOTAL</t>
  </si>
  <si>
    <t>SAD (SANTO ANDRÉ) Avenida Ramiro Colleoni, 110 - Santo André/SP - ISS 3%</t>
  </si>
  <si>
    <t>SBC (SÃO BERNARDO DO CAMPO) Avenida Senador Vergueiro, 400 - São Bernardo do Campo/SP - ISS 3%</t>
  </si>
  <si>
    <t>TBS (TABOÃO DA SERRA) Rua Salvador Branco de Andrade, 182 - Taboão da Serra/SP - ISS 2%</t>
  </si>
  <si>
    <t>VIGILANTE DIURNO - POSTO - 17 Horas Seg à Sexta e 12 horas Sábados</t>
  </si>
  <si>
    <t>Horas Extras</t>
  </si>
  <si>
    <t>DSR Sobre Horas Extras</t>
  </si>
  <si>
    <t>VIGILANTE DIURNO - POSTO - 06 Horas Seg à Sexta - Motorizado</t>
  </si>
  <si>
    <t>VIGILANTE DIURNO - POSTO - 08 Horas Seg à Sexta</t>
  </si>
  <si>
    <t>Valor Total Mensal (Largo 13, Primavera, Jabaquara, Santo André, São Bernardo do Campo e Taboão da Serra)</t>
  </si>
  <si>
    <t>Lote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</si>
</sst>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  <numFmt numFmtId="167" formatCode="_(* #,##0.00_);_(* \(#,##0.00\);_(* &quot;-&quot;??_);_(@_)"/>
    <numFmt numFmtId="168" formatCode="_(* #,##0_);_(* \(#,##0\);_(* &quot;-&quot;??_);_(@_)"/>
    <numFmt numFmtId="169" formatCode="_(* #,##0.0000_);_(* \(#,##0.0000\);_(* &quot;-&quot;??_);_(@_)"/>
    <numFmt numFmtId="170" formatCode="0.0"/>
    <numFmt numFmtId="171" formatCode="#,##0.0000000_);[Red]\(#,##0.00000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2" borderId="34" xfId="0" applyNumberFormat="1" applyFont="1" applyFill="1" applyBorder="1" applyAlignment="1">
      <alignment horizontal="center" vertical="center" wrapText="1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44" fontId="28" fillId="0" borderId="20" xfId="53" applyFont="1" applyBorder="1" applyAlignment="1">
      <alignment horizontal="center" vertical="center"/>
    </xf>
    <xf numFmtId="44" fontId="22" fillId="0" borderId="0" xfId="53" applyFont="1"/>
    <xf numFmtId="43" fontId="22" fillId="0" borderId="0" xfId="54" applyFont="1"/>
    <xf numFmtId="0" fontId="27" fillId="42" borderId="34" xfId="0" applyFont="1" applyFill="1" applyBorder="1" applyAlignment="1">
      <alignment horizontal="center" vertical="center" wrapText="1"/>
    </xf>
    <xf numFmtId="0" fontId="27" fillId="43" borderId="34" xfId="0" applyFont="1" applyFill="1" applyBorder="1" applyAlignment="1">
      <alignment horizontal="center" vertical="center" wrapText="1"/>
    </xf>
    <xf numFmtId="44" fontId="23" fillId="0" borderId="0" xfId="53" applyFont="1"/>
    <xf numFmtId="43" fontId="23" fillId="0" borderId="0" xfId="54" applyNumberFormat="1" applyFont="1"/>
    <xf numFmtId="0" fontId="23" fillId="0" borderId="0" xfId="0" applyFont="1"/>
    <xf numFmtId="44" fontId="29" fillId="0" borderId="0" xfId="0" applyNumberFormat="1" applyFont="1"/>
    <xf numFmtId="0" fontId="34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vertical="center"/>
    </xf>
    <xf numFmtId="167" fontId="34" fillId="0" borderId="0" xfId="54" applyNumberFormat="1" applyFont="1" applyFill="1" applyBorder="1" applyAlignment="1" applyProtection="1">
      <alignment horizontal="left" vertical="center"/>
    </xf>
    <xf numFmtId="168" fontId="34" fillId="0" borderId="0" xfId="54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left" vertical="center"/>
    </xf>
    <xf numFmtId="167" fontId="34" fillId="0" borderId="0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</xf>
    <xf numFmtId="171" fontId="34" fillId="0" borderId="0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vertical="center"/>
    </xf>
    <xf numFmtId="0" fontId="34" fillId="0" borderId="55" xfId="0" applyFont="1" applyFill="1" applyBorder="1" applyAlignment="1" applyProtection="1">
      <alignment horizontal="center" vertical="center"/>
    </xf>
    <xf numFmtId="0" fontId="23" fillId="0" borderId="55" xfId="0" applyFont="1" applyFill="1" applyBorder="1" applyAlignment="1" applyProtection="1">
      <alignment vertical="center"/>
    </xf>
    <xf numFmtId="0" fontId="34" fillId="0" borderId="55" xfId="0" applyFont="1" applyFill="1" applyBorder="1" applyAlignment="1" applyProtection="1">
      <alignment horizontal="center" vertical="center" wrapText="1"/>
    </xf>
    <xf numFmtId="4" fontId="34" fillId="42" borderId="57" xfId="0" applyNumberFormat="1" applyFont="1" applyFill="1" applyBorder="1" applyAlignment="1" applyProtection="1">
      <alignment horizontal="center" vertical="center"/>
      <protection locked="0"/>
    </xf>
    <xf numFmtId="168" fontId="34" fillId="0" borderId="0" xfId="54" applyNumberFormat="1" applyFont="1" applyFill="1" applyBorder="1" applyAlignment="1" applyProtection="1">
      <alignment horizontal="left" vertical="center"/>
    </xf>
    <xf numFmtId="0" fontId="34" fillId="0" borderId="0" xfId="0" applyFont="1" applyFill="1" applyAlignment="1" applyProtection="1">
      <alignment horizontal="right" vertical="center"/>
    </xf>
    <xf numFmtId="0" fontId="34" fillId="0" borderId="54" xfId="0" applyFont="1" applyFill="1" applyBorder="1" applyAlignment="1" applyProtection="1">
      <alignment horizontal="left" vertical="center"/>
    </xf>
    <xf numFmtId="1" fontId="34" fillId="0" borderId="58" xfId="0" applyNumberFormat="1" applyFont="1" applyFill="1" applyBorder="1" applyAlignment="1" applyProtection="1">
      <alignment horizontal="center" vertical="center"/>
      <protection locked="0"/>
    </xf>
    <xf numFmtId="0" fontId="34" fillId="0" borderId="58" xfId="0" applyFont="1" applyFill="1" applyBorder="1" applyAlignment="1" applyProtection="1">
      <alignment horizontal="center" vertical="center"/>
    </xf>
    <xf numFmtId="169" fontId="34" fillId="0" borderId="58" xfId="54" applyNumberFormat="1" applyFont="1" applyFill="1" applyBorder="1" applyAlignment="1" applyProtection="1">
      <alignment vertical="center"/>
    </xf>
    <xf numFmtId="167" fontId="34" fillId="0" borderId="58" xfId="54" applyNumberFormat="1" applyFont="1" applyFill="1" applyBorder="1" applyAlignment="1" applyProtection="1">
      <alignment vertical="center"/>
    </xf>
    <xf numFmtId="3" fontId="34" fillId="0" borderId="58" xfId="0" applyNumberFormat="1" applyFont="1" applyFill="1" applyBorder="1" applyAlignment="1" applyProtection="1">
      <alignment horizontal="center" vertical="center"/>
    </xf>
    <xf numFmtId="49" fontId="34" fillId="0" borderId="58" xfId="0" applyNumberFormat="1" applyFont="1" applyFill="1" applyBorder="1" applyAlignment="1" applyProtection="1">
      <alignment horizontal="center" vertical="center"/>
    </xf>
    <xf numFmtId="1" fontId="34" fillId="0" borderId="57" xfId="0" applyNumberFormat="1" applyFont="1" applyFill="1" applyBorder="1" applyAlignment="1" applyProtection="1">
      <alignment horizontal="center" vertical="center"/>
      <protection locked="0"/>
    </xf>
    <xf numFmtId="49" fontId="34" fillId="0" borderId="57" xfId="0" applyNumberFormat="1" applyFont="1" applyFill="1" applyBorder="1" applyAlignment="1" applyProtection="1">
      <alignment horizontal="center" vertical="center"/>
    </xf>
    <xf numFmtId="169" fontId="34" fillId="0" borderId="57" xfId="54" applyNumberFormat="1" applyFont="1" applyFill="1" applyBorder="1" applyAlignment="1" applyProtection="1">
      <alignment vertical="center"/>
    </xf>
    <xf numFmtId="167" fontId="34" fillId="0" borderId="57" xfId="54" applyNumberFormat="1" applyFont="1" applyFill="1" applyBorder="1" applyAlignment="1" applyProtection="1">
      <alignment vertical="center"/>
    </xf>
    <xf numFmtId="1" fontId="34" fillId="0" borderId="0" xfId="0" applyNumberFormat="1" applyFont="1" applyFill="1" applyBorder="1" applyAlignment="1" applyProtection="1">
      <alignment horizontal="right" vertical="center"/>
    </xf>
    <xf numFmtId="169" fontId="34" fillId="0" borderId="57" xfId="54" applyNumberFormat="1" applyFont="1" applyFill="1" applyBorder="1" applyAlignment="1" applyProtection="1">
      <alignment horizontal="center" vertical="center"/>
    </xf>
    <xf numFmtId="167" fontId="34" fillId="0" borderId="57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167" fontId="34" fillId="0" borderId="57" xfId="0" applyNumberFormat="1" applyFont="1" applyFill="1" applyBorder="1" applyAlignment="1" applyProtection="1">
      <alignment vertical="center"/>
    </xf>
    <xf numFmtId="0" fontId="34" fillId="0" borderId="54" xfId="0" applyFont="1" applyFill="1" applyBorder="1" applyAlignment="1" applyProtection="1">
      <alignment horizontal="center" vertical="center" wrapText="1"/>
    </xf>
    <xf numFmtId="167" fontId="34" fillId="0" borderId="56" xfId="54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3" fillId="0" borderId="0" xfId="0" applyFont="1" applyFill="1" applyAlignment="1"/>
    <xf numFmtId="167" fontId="34" fillId="0" borderId="54" xfId="54" applyNumberFormat="1" applyFont="1" applyFill="1" applyBorder="1" applyAlignment="1" applyProtection="1">
      <alignment horizontal="center" vertical="center"/>
      <protection locked="0"/>
    </xf>
    <xf numFmtId="167" fontId="34" fillId="0" borderId="59" xfId="54" applyNumberFormat="1" applyFont="1" applyFill="1" applyBorder="1" applyAlignment="1" applyProtection="1">
      <alignment vertical="center"/>
    </xf>
    <xf numFmtId="167" fontId="34" fillId="0" borderId="54" xfId="54" applyNumberFormat="1" applyFont="1" applyFill="1" applyBorder="1" applyAlignment="1" applyProtection="1">
      <alignment vertical="center"/>
    </xf>
    <xf numFmtId="167" fontId="34" fillId="0" borderId="54" xfId="54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/>
    <xf numFmtId="167" fontId="34" fillId="0" borderId="0" xfId="54" applyNumberFormat="1" applyFont="1" applyFill="1" applyBorder="1" applyAlignment="1" applyProtection="1">
      <alignment vertical="center"/>
    </xf>
    <xf numFmtId="0" fontId="19" fillId="0" borderId="63" xfId="0" applyFont="1" applyBorder="1" applyAlignment="1">
      <alignment wrapText="1"/>
    </xf>
    <xf numFmtId="0" fontId="0" fillId="0" borderId="64" xfId="0" applyBorder="1" applyAlignment="1">
      <alignment wrapText="1"/>
    </xf>
    <xf numFmtId="44" fontId="19" fillId="0" borderId="63" xfId="0" applyNumberFormat="1" applyFont="1" applyBorder="1" applyAlignment="1">
      <alignment wrapText="1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4" fillId="36" borderId="0" xfId="0" applyFont="1" applyFill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34" fillId="0" borderId="0" xfId="0" applyFont="1" applyFill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34" fillId="2" borderId="54" xfId="0" applyFont="1" applyFill="1" applyBorder="1" applyAlignment="1" applyProtection="1">
      <alignment horizontal="center" vertical="center"/>
    </xf>
    <xf numFmtId="0" fontId="0" fillId="2" borderId="55" xfId="0" applyFill="1" applyBorder="1" applyAlignment="1">
      <alignment vertical="center"/>
    </xf>
    <xf numFmtId="0" fontId="34" fillId="2" borderId="59" xfId="0" applyFont="1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3" fillId="0" borderId="0" xfId="0" applyFont="1" applyFill="1" applyAlignment="1"/>
    <xf numFmtId="0" fontId="0" fillId="0" borderId="62" xfId="0" applyBorder="1" applyAlignment="1"/>
    <xf numFmtId="0" fontId="0" fillId="41" borderId="0" xfId="0" applyFill="1" applyAlignment="1" applyProtection="1">
      <protection locked="0"/>
    </xf>
    <xf numFmtId="3" fontId="34" fillId="41" borderId="58" xfId="0" applyNumberFormat="1" applyFont="1" applyFill="1" applyBorder="1" applyAlignment="1" applyProtection="1">
      <alignment horizontal="center" vertical="center"/>
      <protection locked="0"/>
    </xf>
    <xf numFmtId="167" fontId="34" fillId="41" borderId="58" xfId="54" applyNumberFormat="1" applyFont="1" applyFill="1" applyBorder="1" applyAlignment="1" applyProtection="1">
      <alignment horizontal="center" vertical="center"/>
      <protection locked="0"/>
    </xf>
    <xf numFmtId="170" fontId="34" fillId="41" borderId="58" xfId="0" applyNumberFormat="1" applyFont="1" applyFill="1" applyBorder="1" applyAlignment="1" applyProtection="1">
      <alignment horizontal="center" vertical="center"/>
      <protection locked="0"/>
    </xf>
    <xf numFmtId="3" fontId="34" fillId="41" borderId="57" xfId="0" applyNumberFormat="1" applyFont="1" applyFill="1" applyBorder="1" applyAlignment="1" applyProtection="1">
      <alignment horizontal="center" vertical="center"/>
      <protection locked="0"/>
    </xf>
    <xf numFmtId="10" fontId="34" fillId="41" borderId="57" xfId="54" applyNumberFormat="1" applyFont="1" applyFill="1" applyBorder="1" applyAlignment="1" applyProtection="1">
      <alignment horizontal="center" vertical="center"/>
      <protection locked="0"/>
    </xf>
    <xf numFmtId="167" fontId="34" fillId="41" borderId="57" xfId="54" applyNumberFormat="1" applyFont="1" applyFill="1" applyBorder="1" applyAlignment="1" applyProtection="1">
      <alignment horizontal="center" vertical="center"/>
      <protection locked="0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1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tabSelected="1" topLeftCell="A46" workbookViewId="0">
      <selection activeCell="D56" sqref="D56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216" t="s">
        <v>158</v>
      </c>
      <c r="C2" s="216"/>
      <c r="D2" s="217"/>
      <c r="E2" s="217"/>
      <c r="F2" s="217"/>
      <c r="G2" s="217"/>
    </row>
    <row r="3" spans="2:8" ht="28.5" customHeight="1" x14ac:dyDescent="0.3">
      <c r="B3" s="216" t="s">
        <v>159</v>
      </c>
      <c r="C3" s="216"/>
      <c r="D3" s="217"/>
      <c r="E3" s="217"/>
      <c r="F3" s="217"/>
      <c r="G3" s="217"/>
    </row>
    <row r="4" spans="2:8" ht="28.5" customHeight="1" x14ac:dyDescent="0.3">
      <c r="B4" s="216" t="s">
        <v>160</v>
      </c>
      <c r="C4" s="216"/>
      <c r="D4" s="217"/>
      <c r="E4" s="217"/>
      <c r="F4" s="217"/>
      <c r="G4" s="217"/>
    </row>
    <row r="5" spans="2:8" ht="15" thickBot="1" x14ac:dyDescent="0.35"/>
    <row r="6" spans="2:8" ht="15" thickBot="1" x14ac:dyDescent="0.35">
      <c r="B6" s="213" t="s">
        <v>133</v>
      </c>
      <c r="C6" s="214"/>
      <c r="D6" s="214"/>
      <c r="E6" s="214"/>
      <c r="F6" s="214"/>
      <c r="G6" s="215"/>
      <c r="H6" s="56"/>
    </row>
    <row r="7" spans="2:8" ht="15" thickBot="1" x14ac:dyDescent="0.35">
      <c r="B7" s="213" t="s">
        <v>219</v>
      </c>
      <c r="C7" s="214"/>
      <c r="D7" s="214"/>
      <c r="E7" s="214"/>
      <c r="F7" s="214"/>
      <c r="G7" s="215"/>
      <c r="H7" s="56"/>
    </row>
    <row r="8" spans="2:8" ht="21" thickBot="1" x14ac:dyDescent="0.35">
      <c r="B8" s="200" t="s">
        <v>134</v>
      </c>
      <c r="C8" s="201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202"/>
      <c r="C9" s="205" t="s">
        <v>170</v>
      </c>
      <c r="D9" s="58" t="s">
        <v>139</v>
      </c>
      <c r="E9" s="59">
        <v>2</v>
      </c>
      <c r="F9" s="63">
        <f>'Posto 12x36 diurno ISS 2%'!C137+'Posto 12x36 noturno ISS 2%'!C139</f>
        <v>28253.140761658171</v>
      </c>
      <c r="G9" s="64">
        <f>E9*F9</f>
        <v>56506.281523316342</v>
      </c>
      <c r="H9" s="56"/>
    </row>
    <row r="10" spans="2:8" ht="41.4" thickBot="1" x14ac:dyDescent="0.35">
      <c r="B10" s="203"/>
      <c r="C10" s="206"/>
      <c r="D10" s="142" t="s">
        <v>171</v>
      </c>
      <c r="E10" s="59">
        <v>1</v>
      </c>
      <c r="F10" s="63">
        <f>'L13 - JBQ - Seg Sab'!C139</f>
        <v>14573.896976755899</v>
      </c>
      <c r="G10" s="64">
        <f>E10*F10</f>
        <v>14573.896976755899</v>
      </c>
      <c r="H10" s="56"/>
    </row>
    <row r="11" spans="2:8" ht="15" thickBot="1" x14ac:dyDescent="0.35">
      <c r="B11" s="203"/>
      <c r="C11" s="200" t="s">
        <v>140</v>
      </c>
      <c r="D11" s="207"/>
      <c r="E11" s="207"/>
      <c r="F11" s="201"/>
      <c r="G11" s="65">
        <f>SUM(G9:G10)</f>
        <v>71080.178500072245</v>
      </c>
      <c r="H11" s="56"/>
    </row>
    <row r="12" spans="2:8" ht="15" thickBot="1" x14ac:dyDescent="0.35">
      <c r="B12" s="203"/>
      <c r="C12" s="208" t="s">
        <v>142</v>
      </c>
      <c r="D12" s="209"/>
      <c r="E12" s="209"/>
      <c r="F12" s="66">
        <v>0.1</v>
      </c>
      <c r="G12" s="67">
        <f>F12*G11</f>
        <v>7108.0178500072252</v>
      </c>
      <c r="H12" s="56"/>
    </row>
    <row r="13" spans="2:8" ht="15" thickBot="1" x14ac:dyDescent="0.35">
      <c r="B13" s="204"/>
      <c r="C13" s="210" t="s">
        <v>141</v>
      </c>
      <c r="D13" s="211"/>
      <c r="E13" s="211"/>
      <c r="F13" s="212"/>
      <c r="G13" s="67">
        <f>G12+G11</f>
        <v>78188.196350079466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200" t="s">
        <v>134</v>
      </c>
      <c r="C15" s="201"/>
      <c r="D15" s="125" t="s">
        <v>135</v>
      </c>
      <c r="E15" s="125" t="s">
        <v>136</v>
      </c>
      <c r="F15" s="125" t="s">
        <v>137</v>
      </c>
      <c r="G15" s="125" t="s">
        <v>138</v>
      </c>
      <c r="H15" s="56"/>
    </row>
    <row r="16" spans="2:8" ht="21" thickBot="1" x14ac:dyDescent="0.35">
      <c r="B16" s="202"/>
      <c r="C16" s="205" t="s">
        <v>172</v>
      </c>
      <c r="D16" s="58" t="s">
        <v>139</v>
      </c>
      <c r="E16" s="59">
        <v>1</v>
      </c>
      <c r="F16" s="63">
        <f>'Posto 12x36 diurno ISS 2%'!C137+'Posto 12x36 noturno ISS 2%'!C139</f>
        <v>28253.140761658171</v>
      </c>
      <c r="G16" s="64">
        <f>E16*F16</f>
        <v>28253.140761658171</v>
      </c>
      <c r="H16" s="56"/>
    </row>
    <row r="17" spans="2:8" ht="72" thickBot="1" x14ac:dyDescent="0.35">
      <c r="B17" s="203"/>
      <c r="C17" s="206"/>
      <c r="D17" s="143" t="s">
        <v>173</v>
      </c>
      <c r="E17" s="59">
        <v>1</v>
      </c>
      <c r="F17" s="63">
        <f>'PRI - Moto'!C140</f>
        <v>8371.7445821312594</v>
      </c>
      <c r="G17" s="64">
        <f>E17*F17</f>
        <v>8371.7445821312594</v>
      </c>
      <c r="H17" s="56"/>
    </row>
    <row r="18" spans="2:8" ht="15" thickBot="1" x14ac:dyDescent="0.35">
      <c r="B18" s="203"/>
      <c r="C18" s="200" t="s">
        <v>140</v>
      </c>
      <c r="D18" s="207"/>
      <c r="E18" s="207"/>
      <c r="F18" s="201"/>
      <c r="G18" s="65">
        <f>SUM(G16:G17)</f>
        <v>36624.885343789429</v>
      </c>
      <c r="H18" s="56"/>
    </row>
    <row r="19" spans="2:8" ht="15" thickBot="1" x14ac:dyDescent="0.35">
      <c r="B19" s="203"/>
      <c r="C19" s="208" t="s">
        <v>142</v>
      </c>
      <c r="D19" s="209"/>
      <c r="E19" s="209"/>
      <c r="F19" s="66">
        <v>0.1</v>
      </c>
      <c r="G19" s="67">
        <f>F19*G18</f>
        <v>3662.4885343789429</v>
      </c>
      <c r="H19" s="56"/>
    </row>
    <row r="20" spans="2:8" ht="15" thickBot="1" x14ac:dyDescent="0.35">
      <c r="B20" s="204"/>
      <c r="C20" s="210" t="s">
        <v>141</v>
      </c>
      <c r="D20" s="211"/>
      <c r="E20" s="211"/>
      <c r="F20" s="212"/>
      <c r="G20" s="67">
        <f>G19+G18</f>
        <v>40287.373878168371</v>
      </c>
      <c r="H20" s="56"/>
    </row>
    <row r="21" spans="2:8" ht="15" thickBot="1" x14ac:dyDescent="0.35">
      <c r="B21" s="128"/>
      <c r="C21" s="129"/>
      <c r="D21" s="129"/>
      <c r="E21" s="129"/>
      <c r="F21" s="129"/>
      <c r="G21" s="130"/>
      <c r="H21" s="56"/>
    </row>
    <row r="22" spans="2:8" ht="21" thickBot="1" x14ac:dyDescent="0.35">
      <c r="B22" s="200" t="s">
        <v>134</v>
      </c>
      <c r="C22" s="201"/>
      <c r="D22" s="125" t="s">
        <v>135</v>
      </c>
      <c r="E22" s="125" t="s">
        <v>136</v>
      </c>
      <c r="F22" s="125" t="s">
        <v>137</v>
      </c>
      <c r="G22" s="125" t="s">
        <v>138</v>
      </c>
      <c r="H22" s="56"/>
    </row>
    <row r="23" spans="2:8" ht="21" thickBot="1" x14ac:dyDescent="0.35">
      <c r="B23" s="202"/>
      <c r="C23" s="205" t="s">
        <v>174</v>
      </c>
      <c r="D23" s="58" t="s">
        <v>139</v>
      </c>
      <c r="E23" s="59">
        <v>1</v>
      </c>
      <c r="F23" s="63">
        <f>'Posto 12x36 diurno ISS 2%'!C137+'Posto 12x36 noturno ISS 2%'!C139</f>
        <v>28253.140761658171</v>
      </c>
      <c r="G23" s="64">
        <f>E23*F23</f>
        <v>28253.140761658171</v>
      </c>
      <c r="H23" s="56"/>
    </row>
    <row r="24" spans="2:8" ht="41.4" thickBot="1" x14ac:dyDescent="0.35">
      <c r="B24" s="203"/>
      <c r="C24" s="206"/>
      <c r="D24" s="58" t="s">
        <v>175</v>
      </c>
      <c r="E24" s="59">
        <v>1</v>
      </c>
      <c r="F24" s="63">
        <f>'L13 - JBQ - Seg Sab'!C139</f>
        <v>14573.896976755899</v>
      </c>
      <c r="G24" s="64">
        <f>E24*F24</f>
        <v>14573.896976755899</v>
      </c>
      <c r="H24" s="56"/>
    </row>
    <row r="25" spans="2:8" ht="15" thickBot="1" x14ac:dyDescent="0.35">
      <c r="B25" s="203"/>
      <c r="C25" s="200" t="s">
        <v>140</v>
      </c>
      <c r="D25" s="207"/>
      <c r="E25" s="207"/>
      <c r="F25" s="201"/>
      <c r="G25" s="65">
        <f>SUM(G23:G24)</f>
        <v>42827.037738414074</v>
      </c>
      <c r="H25" s="56"/>
    </row>
    <row r="26" spans="2:8" ht="15" thickBot="1" x14ac:dyDescent="0.35">
      <c r="B26" s="203"/>
      <c r="C26" s="208" t="s">
        <v>142</v>
      </c>
      <c r="D26" s="209"/>
      <c r="E26" s="209"/>
      <c r="F26" s="66">
        <v>0.1</v>
      </c>
      <c r="G26" s="67">
        <f>F26*G25</f>
        <v>4282.7037738414074</v>
      </c>
      <c r="H26" s="56"/>
    </row>
    <row r="27" spans="2:8" ht="15" thickBot="1" x14ac:dyDescent="0.35">
      <c r="B27" s="204"/>
      <c r="C27" s="210" t="s">
        <v>141</v>
      </c>
      <c r="D27" s="211"/>
      <c r="E27" s="211"/>
      <c r="F27" s="212"/>
      <c r="G27" s="67">
        <f>G26+G25</f>
        <v>47109.741512255481</v>
      </c>
      <c r="H27" s="56"/>
    </row>
    <row r="28" spans="2:8" ht="15" thickBot="1" x14ac:dyDescent="0.35">
      <c r="B28" s="128"/>
      <c r="C28" s="129"/>
      <c r="D28" s="129"/>
      <c r="E28" s="129"/>
      <c r="F28" s="129"/>
      <c r="G28" s="130"/>
      <c r="H28" s="56"/>
    </row>
    <row r="29" spans="2:8" ht="21" thickBot="1" x14ac:dyDescent="0.35">
      <c r="B29" s="200" t="s">
        <v>134</v>
      </c>
      <c r="C29" s="201"/>
      <c r="D29" s="133" t="s">
        <v>135</v>
      </c>
      <c r="E29" s="133" t="s">
        <v>136</v>
      </c>
      <c r="F29" s="133" t="s">
        <v>137</v>
      </c>
      <c r="G29" s="133" t="s">
        <v>138</v>
      </c>
      <c r="H29" s="56"/>
    </row>
    <row r="30" spans="2:8" ht="21" thickBot="1" x14ac:dyDescent="0.35">
      <c r="B30" s="202"/>
      <c r="C30" s="205" t="s">
        <v>210</v>
      </c>
      <c r="D30" s="58" t="s">
        <v>139</v>
      </c>
      <c r="E30" s="59">
        <v>1</v>
      </c>
      <c r="F30" s="63">
        <f>'Posto 12x36 diurno ISS 3%'!C137+'Posto 12x36 noturno ISS 3%'!C139</f>
        <v>28520.562822819156</v>
      </c>
      <c r="G30" s="64">
        <f>E30*F30</f>
        <v>28520.562822819156</v>
      </c>
      <c r="H30" s="56"/>
    </row>
    <row r="31" spans="2:8" ht="31.2" thickBot="1" x14ac:dyDescent="0.35">
      <c r="B31" s="203"/>
      <c r="C31" s="206"/>
      <c r="D31" s="58" t="s">
        <v>176</v>
      </c>
      <c r="E31" s="59">
        <v>1</v>
      </c>
      <c r="F31" s="63">
        <f>'SAD - Seg Sex'!C137</f>
        <v>14207.14983122161</v>
      </c>
      <c r="G31" s="64">
        <f>E31*F31</f>
        <v>14207.14983122161</v>
      </c>
      <c r="H31" s="56"/>
    </row>
    <row r="32" spans="2:8" ht="15" thickBot="1" x14ac:dyDescent="0.35">
      <c r="B32" s="203"/>
      <c r="C32" s="200" t="s">
        <v>140</v>
      </c>
      <c r="D32" s="207"/>
      <c r="E32" s="207"/>
      <c r="F32" s="201"/>
      <c r="G32" s="65">
        <f>SUM(G30:G31)</f>
        <v>42727.712654040763</v>
      </c>
      <c r="H32" s="56"/>
    </row>
    <row r="33" spans="2:8" ht="15" thickBot="1" x14ac:dyDescent="0.35">
      <c r="B33" s="203"/>
      <c r="C33" s="208" t="s">
        <v>142</v>
      </c>
      <c r="D33" s="209"/>
      <c r="E33" s="209"/>
      <c r="F33" s="66">
        <v>0.1</v>
      </c>
      <c r="G33" s="67">
        <f>F33*G32</f>
        <v>4272.7712654040761</v>
      </c>
      <c r="H33" s="56"/>
    </row>
    <row r="34" spans="2:8" ht="15" thickBot="1" x14ac:dyDescent="0.35">
      <c r="B34" s="204"/>
      <c r="C34" s="210" t="s">
        <v>141</v>
      </c>
      <c r="D34" s="211"/>
      <c r="E34" s="211"/>
      <c r="F34" s="212"/>
      <c r="G34" s="67">
        <f>G33+G32</f>
        <v>47000.483919444836</v>
      </c>
      <c r="H34" s="56"/>
    </row>
    <row r="35" spans="2:8" ht="15" thickBot="1" x14ac:dyDescent="0.35">
      <c r="B35" s="128"/>
      <c r="C35" s="129"/>
      <c r="D35" s="129"/>
      <c r="E35" s="129"/>
      <c r="F35" s="129"/>
      <c r="G35" s="130"/>
      <c r="H35" s="56"/>
    </row>
    <row r="36" spans="2:8" ht="21" thickBot="1" x14ac:dyDescent="0.35">
      <c r="B36" s="200" t="s">
        <v>134</v>
      </c>
      <c r="C36" s="201"/>
      <c r="D36" s="131" t="s">
        <v>135</v>
      </c>
      <c r="E36" s="131" t="s">
        <v>136</v>
      </c>
      <c r="F36" s="131" t="s">
        <v>137</v>
      </c>
      <c r="G36" s="131" t="s">
        <v>138</v>
      </c>
      <c r="H36" s="56"/>
    </row>
    <row r="37" spans="2:8" ht="21" thickBot="1" x14ac:dyDescent="0.35">
      <c r="B37" s="202"/>
      <c r="C37" s="205" t="s">
        <v>211</v>
      </c>
      <c r="D37" s="58" t="s">
        <v>139</v>
      </c>
      <c r="E37" s="59">
        <v>1</v>
      </c>
      <c r="F37" s="63">
        <f>'Posto 12x36 diurno ISS 3%'!C137+'Posto 12x36 noturno ISS 3%'!C139</f>
        <v>28520.562822819156</v>
      </c>
      <c r="G37" s="64">
        <f>E37*F37</f>
        <v>28520.562822819156</v>
      </c>
      <c r="H37" s="56"/>
    </row>
    <row r="38" spans="2:8" ht="41.4" thickBot="1" x14ac:dyDescent="0.35">
      <c r="B38" s="203"/>
      <c r="C38" s="206"/>
      <c r="D38" s="137" t="s">
        <v>177</v>
      </c>
      <c r="E38" s="138">
        <v>1</v>
      </c>
      <c r="F38" s="139">
        <f>'SBC - Seg Sáb'!C141</f>
        <v>16617.655321683764</v>
      </c>
      <c r="G38" s="64">
        <f>E38*F38</f>
        <v>16617.655321683764</v>
      </c>
      <c r="H38" s="56"/>
    </row>
    <row r="39" spans="2:8" ht="15" thickBot="1" x14ac:dyDescent="0.35">
      <c r="B39" s="203"/>
      <c r="C39" s="200" t="s">
        <v>140</v>
      </c>
      <c r="D39" s="207"/>
      <c r="E39" s="207"/>
      <c r="F39" s="201"/>
      <c r="G39" s="65">
        <f>SUM(G37:G38)</f>
        <v>45138.21814450292</v>
      </c>
      <c r="H39" s="56"/>
    </row>
    <row r="40" spans="2:8" ht="15" thickBot="1" x14ac:dyDescent="0.35">
      <c r="B40" s="203"/>
      <c r="C40" s="208" t="s">
        <v>142</v>
      </c>
      <c r="D40" s="209"/>
      <c r="E40" s="209"/>
      <c r="F40" s="66">
        <v>0.1</v>
      </c>
      <c r="G40" s="67">
        <f>F40*G39</f>
        <v>4513.8218144502925</v>
      </c>
      <c r="H40" s="56"/>
    </row>
    <row r="41" spans="2:8" ht="15" thickBot="1" x14ac:dyDescent="0.35">
      <c r="B41" s="204"/>
      <c r="C41" s="210" t="s">
        <v>141</v>
      </c>
      <c r="D41" s="211"/>
      <c r="E41" s="211"/>
      <c r="F41" s="212"/>
      <c r="G41" s="67">
        <f>G40+G39</f>
        <v>49652.03995895321</v>
      </c>
      <c r="H41" s="56"/>
    </row>
    <row r="42" spans="2:8" ht="15" thickBot="1" x14ac:dyDescent="0.35"/>
    <row r="43" spans="2:8" ht="21" thickBot="1" x14ac:dyDescent="0.35">
      <c r="B43" s="200" t="s">
        <v>134</v>
      </c>
      <c r="C43" s="201"/>
      <c r="D43" s="133" t="s">
        <v>135</v>
      </c>
      <c r="E43" s="133" t="s">
        <v>136</v>
      </c>
      <c r="F43" s="133" t="s">
        <v>137</v>
      </c>
      <c r="G43" s="133" t="s">
        <v>138</v>
      </c>
    </row>
    <row r="44" spans="2:8" ht="32.25" customHeight="1" thickBot="1" x14ac:dyDescent="0.35">
      <c r="B44" s="202"/>
      <c r="C44" s="134" t="s">
        <v>178</v>
      </c>
      <c r="D44" s="58" t="s">
        <v>139</v>
      </c>
      <c r="E44" s="59">
        <v>1</v>
      </c>
      <c r="F44" s="63">
        <f>'Posto 12x36 diurno ISS 2%'!C137+'Posto 12x36 noturno ISS 2%'!C139</f>
        <v>28253.140761658171</v>
      </c>
      <c r="G44" s="64">
        <f>E44*F44</f>
        <v>28253.140761658171</v>
      </c>
    </row>
    <row r="45" spans="2:8" ht="15" thickBot="1" x14ac:dyDescent="0.35">
      <c r="B45" s="203"/>
      <c r="C45" s="200" t="s">
        <v>140</v>
      </c>
      <c r="D45" s="207"/>
      <c r="E45" s="207"/>
      <c r="F45" s="201"/>
      <c r="G45" s="65">
        <f>SUM(G44:G44)</f>
        <v>28253.140761658171</v>
      </c>
    </row>
    <row r="46" spans="2:8" ht="15" thickBot="1" x14ac:dyDescent="0.35">
      <c r="B46" s="203"/>
      <c r="C46" s="208" t="s">
        <v>142</v>
      </c>
      <c r="D46" s="209"/>
      <c r="E46" s="209"/>
      <c r="F46" s="66">
        <v>0.1</v>
      </c>
      <c r="G46" s="67">
        <f>F46*G45</f>
        <v>2825.3140761658174</v>
      </c>
    </row>
    <row r="47" spans="2:8" ht="15" thickBot="1" x14ac:dyDescent="0.35">
      <c r="B47" s="204"/>
      <c r="C47" s="210" t="s">
        <v>141</v>
      </c>
      <c r="D47" s="211"/>
      <c r="E47" s="211"/>
      <c r="F47" s="212"/>
      <c r="G47" s="67">
        <f>G46+G45</f>
        <v>31078.454837823989</v>
      </c>
    </row>
    <row r="48" spans="2:8" ht="15" thickBot="1" x14ac:dyDescent="0.35"/>
    <row r="49" spans="2:7" ht="21" thickBot="1" x14ac:dyDescent="0.35">
      <c r="B49" s="200" t="s">
        <v>134</v>
      </c>
      <c r="C49" s="201"/>
      <c r="D49" s="133" t="s">
        <v>135</v>
      </c>
      <c r="E49" s="133" t="s">
        <v>136</v>
      </c>
      <c r="F49" s="133" t="s">
        <v>137</v>
      </c>
      <c r="G49" s="133" t="s">
        <v>138</v>
      </c>
    </row>
    <row r="50" spans="2:7" ht="21" thickBot="1" x14ac:dyDescent="0.35">
      <c r="B50" s="202"/>
      <c r="C50" s="205" t="s">
        <v>212</v>
      </c>
      <c r="D50" s="58" t="s">
        <v>139</v>
      </c>
      <c r="E50" s="59">
        <v>1</v>
      </c>
      <c r="F50" s="63">
        <f>'Posto 12x36 diurno ISS 2%'!C137+'Posto 12x36 noturno ISS 2%'!C139</f>
        <v>28253.140761658171</v>
      </c>
      <c r="G50" s="64">
        <f>E50*F50</f>
        <v>28253.140761658171</v>
      </c>
    </row>
    <row r="51" spans="2:7" ht="72" thickBot="1" x14ac:dyDescent="0.35">
      <c r="B51" s="203"/>
      <c r="C51" s="206"/>
      <c r="D51" s="143" t="s">
        <v>179</v>
      </c>
      <c r="E51" s="59">
        <v>1</v>
      </c>
      <c r="F51" s="63">
        <f>'TBS - Seg Sex Moto'!C140</f>
        <v>8371.7445821312594</v>
      </c>
      <c r="G51" s="64">
        <f>E51*F51</f>
        <v>8371.7445821312594</v>
      </c>
    </row>
    <row r="52" spans="2:7" ht="15" thickBot="1" x14ac:dyDescent="0.35">
      <c r="B52" s="203"/>
      <c r="C52" s="200" t="s">
        <v>140</v>
      </c>
      <c r="D52" s="207"/>
      <c r="E52" s="207"/>
      <c r="F52" s="201"/>
      <c r="G52" s="65">
        <f>SUM(G50:G51)</f>
        <v>36624.885343789429</v>
      </c>
    </row>
    <row r="53" spans="2:7" ht="15" thickBot="1" x14ac:dyDescent="0.35">
      <c r="B53" s="203"/>
      <c r="C53" s="208" t="s">
        <v>142</v>
      </c>
      <c r="D53" s="209"/>
      <c r="E53" s="209"/>
      <c r="F53" s="66">
        <v>0.1</v>
      </c>
      <c r="G53" s="67">
        <f>F53*G52</f>
        <v>3662.4885343789429</v>
      </c>
    </row>
    <row r="54" spans="2:7" ht="15" thickBot="1" x14ac:dyDescent="0.35">
      <c r="B54" s="204"/>
      <c r="C54" s="210" t="s">
        <v>141</v>
      </c>
      <c r="D54" s="211"/>
      <c r="E54" s="211"/>
      <c r="F54" s="212"/>
      <c r="G54" s="67">
        <f>G53+G52</f>
        <v>40287.373878168371</v>
      </c>
    </row>
    <row r="57" spans="2:7" ht="15" thickBot="1" x14ac:dyDescent="0.35"/>
    <row r="58" spans="2:7" ht="15" thickTop="1" x14ac:dyDescent="0.3">
      <c r="B58" s="197" t="s">
        <v>218</v>
      </c>
      <c r="C58" s="197"/>
      <c r="D58" s="197"/>
      <c r="E58" s="197"/>
      <c r="F58" s="197"/>
      <c r="G58" s="199">
        <f>G13+G20+G27+G34+G41+G47+G54</f>
        <v>333603.66433489369</v>
      </c>
    </row>
    <row r="59" spans="2:7" ht="15" thickBot="1" x14ac:dyDescent="0.35">
      <c r="B59" s="198"/>
      <c r="C59" s="198"/>
      <c r="D59" s="198"/>
      <c r="E59" s="198"/>
      <c r="F59" s="198"/>
      <c r="G59" s="198"/>
    </row>
    <row r="60" spans="2:7" ht="15" thickTop="1" x14ac:dyDescent="0.3"/>
    <row r="62" spans="2:7" x14ac:dyDescent="0.3">
      <c r="B62" s="271" t="s">
        <v>161</v>
      </c>
      <c r="C62" s="271"/>
      <c r="D62" s="271"/>
      <c r="E62" s="271"/>
      <c r="F62" s="271"/>
      <c r="G62" s="271"/>
    </row>
    <row r="65" spans="3:3" x14ac:dyDescent="0.3">
      <c r="C65" t="s">
        <v>162</v>
      </c>
    </row>
  </sheetData>
  <sheetProtection password="F668" sheet="1" objects="1" scenarios="1"/>
  <mergeCells count="52">
    <mergeCell ref="B2:C2"/>
    <mergeCell ref="B3:C3"/>
    <mergeCell ref="B4:C4"/>
    <mergeCell ref="D2:G2"/>
    <mergeCell ref="D3:G3"/>
    <mergeCell ref="D4:G4"/>
    <mergeCell ref="B6:G6"/>
    <mergeCell ref="B8:C8"/>
    <mergeCell ref="B9:B13"/>
    <mergeCell ref="C12:E12"/>
    <mergeCell ref="B7:G7"/>
    <mergeCell ref="C9:C10"/>
    <mergeCell ref="B62:G62"/>
    <mergeCell ref="C11:F11"/>
    <mergeCell ref="C13:F13"/>
    <mergeCell ref="B16:B20"/>
    <mergeCell ref="C16:C17"/>
    <mergeCell ref="C18:F18"/>
    <mergeCell ref="C19:E19"/>
    <mergeCell ref="C20:F20"/>
    <mergeCell ref="B22:C22"/>
    <mergeCell ref="B23:B27"/>
    <mergeCell ref="C23:C24"/>
    <mergeCell ref="C25:F25"/>
    <mergeCell ref="C26:E26"/>
    <mergeCell ref="C27:F27"/>
    <mergeCell ref="B29:C29"/>
    <mergeCell ref="B15:C15"/>
    <mergeCell ref="B30:B34"/>
    <mergeCell ref="C30:C31"/>
    <mergeCell ref="C37:C38"/>
    <mergeCell ref="B43:C43"/>
    <mergeCell ref="B44:B47"/>
    <mergeCell ref="C45:F45"/>
    <mergeCell ref="C46:E46"/>
    <mergeCell ref="C47:F47"/>
    <mergeCell ref="C32:F32"/>
    <mergeCell ref="C33:E33"/>
    <mergeCell ref="C34:F34"/>
    <mergeCell ref="B36:C36"/>
    <mergeCell ref="C39:F39"/>
    <mergeCell ref="B37:B41"/>
    <mergeCell ref="C40:E40"/>
    <mergeCell ref="C41:F41"/>
    <mergeCell ref="B58:F59"/>
    <mergeCell ref="G58:G59"/>
    <mergeCell ref="B49:C49"/>
    <mergeCell ref="B50:B54"/>
    <mergeCell ref="C50:C51"/>
    <mergeCell ref="C52:F52"/>
    <mergeCell ref="C53:E53"/>
    <mergeCell ref="C54:F5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rowBreaks count="1" manualBreakCount="1">
    <brk id="28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D13" sqref="D13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153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5">
        <f t="shared" ref="E6" si="0">B6*C6*D6</f>
        <v>260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157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89">
        <f>B14-C14</f>
        <v>149.2664</v>
      </c>
      <c r="E14" s="90"/>
    </row>
    <row r="15" spans="1:5" ht="20.25" customHeight="1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Sab</v>
      </c>
      <c r="B17" s="251"/>
      <c r="C17" s="251"/>
      <c r="D17" s="252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26</v>
      </c>
      <c r="D19" s="85">
        <f>(B19*C19)</f>
        <v>834.86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150.2748</v>
      </c>
    </row>
    <row r="21" spans="1:5" ht="16.2" thickBot="1" x14ac:dyDescent="0.35">
      <c r="A21" s="260" t="s">
        <v>155</v>
      </c>
      <c r="B21" s="261"/>
      <c r="C21" s="261"/>
      <c r="D21" s="112">
        <f>D19-D20</f>
        <v>684.58519999999999</v>
      </c>
    </row>
    <row r="22" spans="1:5" ht="16.5" customHeight="1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27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88" workbookViewId="0">
      <selection activeCell="B97" sqref="B9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5" ht="22.8" x14ac:dyDescent="0.4">
      <c r="A1" s="231" t="s">
        <v>100</v>
      </c>
      <c r="B1" s="231"/>
      <c r="C1" s="231"/>
      <c r="D1" s="231"/>
    </row>
    <row r="2" spans="1:5" ht="22.8" x14ac:dyDescent="0.4">
      <c r="A2" s="231" t="s">
        <v>101</v>
      </c>
      <c r="B2" s="231"/>
      <c r="C2" s="231"/>
      <c r="D2" s="231"/>
    </row>
    <row r="3" spans="1:5" x14ac:dyDescent="0.3">
      <c r="A3" s="235"/>
      <c r="B3" s="235"/>
      <c r="C3" s="235"/>
      <c r="D3" s="235"/>
    </row>
    <row r="4" spans="1:5" x14ac:dyDescent="0.3">
      <c r="A4" s="32" t="s">
        <v>109</v>
      </c>
      <c r="B4" s="230" t="s">
        <v>163</v>
      </c>
      <c r="C4" s="230"/>
    </row>
    <row r="5" spans="1:5" x14ac:dyDescent="0.3">
      <c r="A5" s="32" t="s">
        <v>110</v>
      </c>
      <c r="B5" s="230" t="s">
        <v>217</v>
      </c>
      <c r="C5" s="230"/>
      <c r="E5" s="53"/>
    </row>
    <row r="6" spans="1:5" x14ac:dyDescent="0.3">
      <c r="A6" s="32"/>
      <c r="B6" s="230"/>
      <c r="C6" s="230"/>
    </row>
    <row r="7" spans="1:5" x14ac:dyDescent="0.3">
      <c r="A7" s="234" t="s">
        <v>35</v>
      </c>
      <c r="B7" s="234"/>
      <c r="C7" s="234"/>
    </row>
    <row r="8" spans="1:5" ht="16.2" thickBot="1" x14ac:dyDescent="0.35"/>
    <row r="9" spans="1:5" ht="16.2" thickBot="1" x14ac:dyDescent="0.35">
      <c r="A9" s="13">
        <v>1</v>
      </c>
      <c r="B9" s="135" t="s">
        <v>36</v>
      </c>
      <c r="C9" s="135" t="s">
        <v>37</v>
      </c>
      <c r="D9" s="73"/>
      <c r="E9" s="73"/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C10+C11+C12</f>
        <v>2620.6952000000001</v>
      </c>
      <c r="E10" s="70">
        <f>D10/220</f>
        <v>11.912250909090909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2.3824501818181818</v>
      </c>
    </row>
    <row r="12" spans="1:5" ht="16.2" thickBot="1" x14ac:dyDescent="0.35">
      <c r="A12" s="15" t="s">
        <v>41</v>
      </c>
      <c r="B12" s="16" t="s">
        <v>180</v>
      </c>
      <c r="C12" s="23">
        <f>C10*12%</f>
        <v>221.46719999999999</v>
      </c>
      <c r="D12" s="72"/>
      <c r="E12" s="70">
        <f>E11+E10</f>
        <v>14.294701090909092</v>
      </c>
    </row>
    <row r="13" spans="1:5" ht="16.2" thickBot="1" x14ac:dyDescent="0.35">
      <c r="A13" s="15" t="s">
        <v>41</v>
      </c>
      <c r="B13" s="16" t="s">
        <v>4</v>
      </c>
      <c r="C13" s="23">
        <f>D11*E11</f>
        <v>51.699168945454545</v>
      </c>
      <c r="D13" s="73"/>
      <c r="E13" s="147">
        <f>E10*1.6</f>
        <v>19.059601454545454</v>
      </c>
    </row>
    <row r="14" spans="1:5" ht="16.2" thickBot="1" x14ac:dyDescent="0.35">
      <c r="A14" s="15" t="s">
        <v>42</v>
      </c>
      <c r="B14" s="16" t="s">
        <v>154</v>
      </c>
      <c r="C14" s="23">
        <f>E13*0.3472</f>
        <v>6.6174936250181817</v>
      </c>
      <c r="D14" s="72"/>
      <c r="E14" s="70"/>
    </row>
    <row r="15" spans="1:5" ht="16.2" thickBot="1" x14ac:dyDescent="0.35">
      <c r="A15" s="232" t="s">
        <v>5</v>
      </c>
      <c r="B15" s="233"/>
      <c r="C15" s="39">
        <f>SUM(C10:C14)</f>
        <v>2679.0118625704727</v>
      </c>
    </row>
    <row r="17" spans="1:6" x14ac:dyDescent="0.3">
      <c r="D17" s="79"/>
      <c r="E17" s="79"/>
      <c r="F17" s="79"/>
    </row>
    <row r="18" spans="1:6" x14ac:dyDescent="0.3">
      <c r="A18" s="223" t="s">
        <v>48</v>
      </c>
      <c r="B18" s="223"/>
      <c r="C18" s="223"/>
    </row>
    <row r="19" spans="1:6" x14ac:dyDescent="0.3">
      <c r="A19" s="12"/>
    </row>
    <row r="20" spans="1:6" x14ac:dyDescent="0.3">
      <c r="A20" s="226" t="s">
        <v>49</v>
      </c>
      <c r="B20" s="226"/>
      <c r="C20" s="226"/>
    </row>
    <row r="21" spans="1:6" ht="16.2" thickBot="1" x14ac:dyDescent="0.35"/>
    <row r="22" spans="1:6" ht="16.2" thickBot="1" x14ac:dyDescent="0.35">
      <c r="A22" s="13" t="s">
        <v>50</v>
      </c>
      <c r="B22" s="135" t="s">
        <v>51</v>
      </c>
      <c r="C22" s="135" t="s">
        <v>57</v>
      </c>
      <c r="D22" s="135" t="s">
        <v>37</v>
      </c>
    </row>
    <row r="23" spans="1:6" ht="16.2" thickBot="1" x14ac:dyDescent="0.35">
      <c r="A23" s="15" t="s">
        <v>38</v>
      </c>
      <c r="B23" s="35" t="s">
        <v>52</v>
      </c>
      <c r="C23" s="31">
        <v>8.3299999999999999E-2</v>
      </c>
      <c r="D23" s="36">
        <f>C$15*C23</f>
        <v>223.16168815212038</v>
      </c>
    </row>
    <row r="24" spans="1:6" ht="16.2" thickBot="1" x14ac:dyDescent="0.35">
      <c r="A24" s="15" t="s">
        <v>40</v>
      </c>
      <c r="B24" s="33" t="s">
        <v>53</v>
      </c>
      <c r="C24" s="37">
        <v>0.121</v>
      </c>
      <c r="D24" s="38">
        <f>C$15*C24</f>
        <v>324.16043537102718</v>
      </c>
    </row>
    <row r="25" spans="1:6" ht="16.2" thickBot="1" x14ac:dyDescent="0.35">
      <c r="A25" s="224" t="s">
        <v>5</v>
      </c>
      <c r="B25" s="225"/>
      <c r="C25" s="40">
        <f>SUM(C23:C24)</f>
        <v>0.20429999999999998</v>
      </c>
      <c r="D25" s="41">
        <f>C$15*C25</f>
        <v>547.32212352314752</v>
      </c>
    </row>
    <row r="28" spans="1:6" x14ac:dyDescent="0.3">
      <c r="A28" s="229" t="s">
        <v>54</v>
      </c>
      <c r="B28" s="229"/>
      <c r="C28" s="229"/>
      <c r="D28" s="229"/>
    </row>
    <row r="29" spans="1:6" ht="16.2" thickBot="1" x14ac:dyDescent="0.35"/>
    <row r="30" spans="1:6" ht="16.2" thickBot="1" x14ac:dyDescent="0.35">
      <c r="A30" s="13" t="s">
        <v>55</v>
      </c>
      <c r="B30" s="135" t="s">
        <v>56</v>
      </c>
      <c r="C30" s="135" t="s">
        <v>57</v>
      </c>
      <c r="D30" s="135" t="s">
        <v>37</v>
      </c>
    </row>
    <row r="31" spans="1:6" ht="16.2" thickBot="1" x14ac:dyDescent="0.35">
      <c r="A31" s="15" t="s">
        <v>38</v>
      </c>
      <c r="B31" s="16" t="s">
        <v>58</v>
      </c>
      <c r="C31" s="17">
        <v>0.2</v>
      </c>
      <c r="D31" s="38">
        <f t="shared" ref="D31:D39" si="0">(D$25+C$15)*C31</f>
        <v>645.26679721872415</v>
      </c>
    </row>
    <row r="32" spans="1:6" ht="16.2" thickBot="1" x14ac:dyDescent="0.35">
      <c r="A32" s="15" t="s">
        <v>40</v>
      </c>
      <c r="B32" s="16" t="s">
        <v>59</v>
      </c>
      <c r="C32" s="17">
        <v>2.5000000000000001E-2</v>
      </c>
      <c r="D32" s="38">
        <f t="shared" si="0"/>
        <v>80.658349652340519</v>
      </c>
    </row>
    <row r="33" spans="1:5" ht="16.2" thickBot="1" x14ac:dyDescent="0.35">
      <c r="A33" s="15" t="s">
        <v>41</v>
      </c>
      <c r="B33" s="16" t="s">
        <v>60</v>
      </c>
      <c r="C33" s="115">
        <f>'Posto 12x36 diurno ISS 2%'!C30</f>
        <v>0.03</v>
      </c>
      <c r="D33" s="38">
        <f t="shared" si="0"/>
        <v>96.790019582808611</v>
      </c>
    </row>
    <row r="34" spans="1:5" ht="16.2" thickBot="1" x14ac:dyDescent="0.35">
      <c r="A34" s="15" t="s">
        <v>42</v>
      </c>
      <c r="B34" s="16" t="s">
        <v>61</v>
      </c>
      <c r="C34" s="17">
        <v>1.4999999999999999E-2</v>
      </c>
      <c r="D34" s="38">
        <f t="shared" si="0"/>
        <v>48.395009791404306</v>
      </c>
    </row>
    <row r="35" spans="1:5" ht="16.2" thickBot="1" x14ac:dyDescent="0.35">
      <c r="A35" s="15" t="s">
        <v>43</v>
      </c>
      <c r="B35" s="16" t="s">
        <v>62</v>
      </c>
      <c r="C35" s="17">
        <v>0.01</v>
      </c>
      <c r="D35" s="38">
        <f t="shared" si="0"/>
        <v>32.263339860936206</v>
      </c>
    </row>
    <row r="36" spans="1:5" ht="16.2" thickBot="1" x14ac:dyDescent="0.35">
      <c r="A36" s="15" t="s">
        <v>45</v>
      </c>
      <c r="B36" s="16" t="s">
        <v>6</v>
      </c>
      <c r="C36" s="17">
        <v>6.0000000000000001E-3</v>
      </c>
      <c r="D36" s="38">
        <f t="shared" si="0"/>
        <v>19.358003916561721</v>
      </c>
    </row>
    <row r="37" spans="1:5" ht="16.2" thickBot="1" x14ac:dyDescent="0.35">
      <c r="A37" s="15" t="s">
        <v>46</v>
      </c>
      <c r="B37" s="16" t="s">
        <v>7</v>
      </c>
      <c r="C37" s="17">
        <v>2E-3</v>
      </c>
      <c r="D37" s="38">
        <f t="shared" si="0"/>
        <v>6.4526679721872409</v>
      </c>
    </row>
    <row r="38" spans="1:5" ht="16.2" thickBot="1" x14ac:dyDescent="0.35">
      <c r="A38" s="15" t="s">
        <v>63</v>
      </c>
      <c r="B38" s="16" t="s">
        <v>8</v>
      </c>
      <c r="C38" s="17">
        <v>0.08</v>
      </c>
      <c r="D38" s="38">
        <f t="shared" si="0"/>
        <v>258.10671888748965</v>
      </c>
    </row>
    <row r="39" spans="1:5" ht="16.2" thickBot="1" x14ac:dyDescent="0.35">
      <c r="A39" s="224" t="s">
        <v>64</v>
      </c>
      <c r="B39" s="225"/>
      <c r="C39" s="17">
        <f>SUM(C31:C38)</f>
        <v>0.36800000000000005</v>
      </c>
      <c r="D39" s="38">
        <f t="shared" si="0"/>
        <v>1187.2909068824524</v>
      </c>
      <c r="E39" s="68">
        <f>C39*C25</f>
        <v>7.5182399999999996E-2</v>
      </c>
    </row>
    <row r="42" spans="1:5" x14ac:dyDescent="0.3">
      <c r="A42" s="226" t="s">
        <v>65</v>
      </c>
      <c r="B42" s="226"/>
      <c r="C42" s="226"/>
    </row>
    <row r="43" spans="1:5" ht="16.2" thickBot="1" x14ac:dyDescent="0.35"/>
    <row r="44" spans="1:5" ht="16.2" thickBot="1" x14ac:dyDescent="0.35">
      <c r="A44" s="13" t="s">
        <v>66</v>
      </c>
      <c r="B44" s="135" t="s">
        <v>67</v>
      </c>
      <c r="C44" s="135" t="s">
        <v>37</v>
      </c>
    </row>
    <row r="45" spans="1:5" ht="16.2" thickBot="1" x14ac:dyDescent="0.35">
      <c r="A45" s="15" t="s">
        <v>38</v>
      </c>
      <c r="B45" s="16" t="s">
        <v>68</v>
      </c>
      <c r="C45" s="25">
        <f>'Planilha de Apoio - PRI Moto'!D14</f>
        <v>153.2664</v>
      </c>
    </row>
    <row r="46" spans="1:5" ht="16.2" thickBot="1" x14ac:dyDescent="0.35">
      <c r="A46" s="15" t="s">
        <v>40</v>
      </c>
      <c r="B46" s="16" t="s">
        <v>111</v>
      </c>
      <c r="C46" s="23">
        <f>'Planilha de Apoio - PRI Moto'!D21</f>
        <v>579.26440000000002</v>
      </c>
    </row>
    <row r="47" spans="1:5" ht="16.2" thickBot="1" x14ac:dyDescent="0.35">
      <c r="A47" s="15" t="s">
        <v>41</v>
      </c>
      <c r="B47" s="16" t="s">
        <v>127</v>
      </c>
      <c r="C47" s="117">
        <v>15</v>
      </c>
    </row>
    <row r="48" spans="1:5" ht="16.2" thickBot="1" x14ac:dyDescent="0.35">
      <c r="A48" s="46" t="s">
        <v>42</v>
      </c>
      <c r="B48" s="34" t="s">
        <v>144</v>
      </c>
      <c r="C48" s="23">
        <f>'Planilha de Apoio - PRI Moto'!D25</f>
        <v>161.0915</v>
      </c>
    </row>
    <row r="49" spans="1:4" ht="16.2" thickBot="1" x14ac:dyDescent="0.35">
      <c r="A49" s="46" t="s">
        <v>43</v>
      </c>
      <c r="B49" s="118" t="s">
        <v>145</v>
      </c>
      <c r="C49" s="117"/>
    </row>
    <row r="50" spans="1:4" ht="16.2" thickBot="1" x14ac:dyDescent="0.35">
      <c r="A50" s="232" t="s">
        <v>5</v>
      </c>
      <c r="B50" s="233"/>
      <c r="C50" s="23">
        <f>SUM(C45:C49)</f>
        <v>908.6223</v>
      </c>
    </row>
    <row r="53" spans="1:4" x14ac:dyDescent="0.3">
      <c r="A53" s="226" t="s">
        <v>69</v>
      </c>
      <c r="B53" s="226"/>
      <c r="C53" s="226"/>
    </row>
    <row r="54" spans="1:4" ht="16.2" thickBot="1" x14ac:dyDescent="0.35"/>
    <row r="55" spans="1:4" ht="16.2" thickBot="1" x14ac:dyDescent="0.35">
      <c r="A55" s="13">
        <v>2</v>
      </c>
      <c r="B55" s="135" t="s">
        <v>70</v>
      </c>
      <c r="C55" s="135" t="s">
        <v>37</v>
      </c>
    </row>
    <row r="56" spans="1:4" ht="16.2" thickBot="1" x14ac:dyDescent="0.35">
      <c r="A56" s="15" t="s">
        <v>50</v>
      </c>
      <c r="B56" s="16" t="s">
        <v>51</v>
      </c>
      <c r="C56" s="23">
        <f>D25</f>
        <v>547.32212352314752</v>
      </c>
    </row>
    <row r="57" spans="1:4" ht="16.2" thickBot="1" x14ac:dyDescent="0.35">
      <c r="A57" s="15" t="s">
        <v>55</v>
      </c>
      <c r="B57" s="16" t="s">
        <v>56</v>
      </c>
      <c r="C57" s="23">
        <f>D39</f>
        <v>1187.2909068824524</v>
      </c>
    </row>
    <row r="58" spans="1:4" ht="16.2" thickBot="1" x14ac:dyDescent="0.35">
      <c r="A58" s="15" t="s">
        <v>66</v>
      </c>
      <c r="B58" s="16" t="s">
        <v>67</v>
      </c>
      <c r="C58" s="23">
        <f>C50</f>
        <v>908.6223</v>
      </c>
    </row>
    <row r="59" spans="1:4" ht="16.2" thickBot="1" x14ac:dyDescent="0.35">
      <c r="A59" s="224" t="s">
        <v>5</v>
      </c>
      <c r="B59" s="225"/>
      <c r="C59" s="23">
        <f>SUM(C56:C58)</f>
        <v>2643.2353304056001</v>
      </c>
    </row>
    <row r="60" spans="1:4" x14ac:dyDescent="0.3">
      <c r="A60" s="2"/>
    </row>
    <row r="62" spans="1:4" x14ac:dyDescent="0.3">
      <c r="A62" s="223" t="s">
        <v>71</v>
      </c>
      <c r="B62" s="223"/>
      <c r="C62" s="223"/>
    </row>
    <row r="63" spans="1:4" ht="16.2" thickBot="1" x14ac:dyDescent="0.35"/>
    <row r="64" spans="1:4" ht="16.2" thickBot="1" x14ac:dyDescent="0.35">
      <c r="A64" s="13">
        <v>3</v>
      </c>
      <c r="B64" s="135" t="s">
        <v>72</v>
      </c>
      <c r="C64" s="135" t="s">
        <v>57</v>
      </c>
      <c r="D64" s="135" t="s">
        <v>37</v>
      </c>
    </row>
    <row r="65" spans="1:4" ht="16.2" thickBot="1" x14ac:dyDescent="0.35">
      <c r="A65" s="15" t="s">
        <v>38</v>
      </c>
      <c r="B65" s="18" t="s">
        <v>73</v>
      </c>
      <c r="C65" s="28">
        <v>4.1999999999999997E-3</v>
      </c>
      <c r="D65" s="23">
        <f>(C$15)*C65</f>
        <v>11.251849822795984</v>
      </c>
    </row>
    <row r="66" spans="1:4" ht="16.2" thickBot="1" x14ac:dyDescent="0.35">
      <c r="A66" s="15" t="s">
        <v>40</v>
      </c>
      <c r="B66" s="26" t="s">
        <v>74</v>
      </c>
      <c r="C66" s="29">
        <f>C65*C38</f>
        <v>3.3599999999999998E-4</v>
      </c>
      <c r="D66" s="23">
        <f>(C$15)*C66</f>
        <v>0.90014798582367872</v>
      </c>
    </row>
    <row r="67" spans="1:4" ht="16.2" thickBot="1" x14ac:dyDescent="0.35">
      <c r="A67" s="15" t="s">
        <v>41</v>
      </c>
      <c r="B67" s="18" t="s">
        <v>131</v>
      </c>
      <c r="C67" s="27">
        <v>3.5999999999999999E-3</v>
      </c>
      <c r="D67" s="23">
        <f>C67*C15</f>
        <v>9.6444427052537005</v>
      </c>
    </row>
    <row r="68" spans="1:4" ht="16.2" thickBot="1" x14ac:dyDescent="0.35">
      <c r="A68" s="15" t="s">
        <v>42</v>
      </c>
      <c r="B68" s="18" t="s">
        <v>76</v>
      </c>
      <c r="C68" s="30">
        <v>1.9400000000000001E-2</v>
      </c>
      <c r="D68" s="23">
        <f>(C$15)*C68</f>
        <v>51.97283013386717</v>
      </c>
    </row>
    <row r="69" spans="1:4" ht="16.2" thickBot="1" x14ac:dyDescent="0.35">
      <c r="A69" s="15" t="s">
        <v>43</v>
      </c>
      <c r="B69" s="18" t="s">
        <v>77</v>
      </c>
      <c r="C69" s="27">
        <f>C68*C39</f>
        <v>7.1392000000000009E-3</v>
      </c>
      <c r="D69" s="23">
        <f>C69*C15</f>
        <v>19.126001489263121</v>
      </c>
    </row>
    <row r="70" spans="1:4" ht="16.2" thickBot="1" x14ac:dyDescent="0.35">
      <c r="A70" s="15" t="s">
        <v>45</v>
      </c>
      <c r="B70" s="18" t="s">
        <v>132</v>
      </c>
      <c r="C70" s="27">
        <v>3.6400000000000002E-2</v>
      </c>
      <c r="D70" s="23">
        <f>C70*C15</f>
        <v>97.516031797565205</v>
      </c>
    </row>
    <row r="71" spans="1:4" ht="16.2" thickBot="1" x14ac:dyDescent="0.35">
      <c r="A71" s="224" t="s">
        <v>5</v>
      </c>
      <c r="B71" s="225"/>
      <c r="C71" s="27">
        <f>SUM(C65:C70)</f>
        <v>7.1075200000000005E-2</v>
      </c>
      <c r="D71" s="23">
        <f>SUM(D65:D70)</f>
        <v>190.41130393456888</v>
      </c>
    </row>
    <row r="74" spans="1:4" x14ac:dyDescent="0.3">
      <c r="A74" s="223" t="s">
        <v>79</v>
      </c>
      <c r="B74" s="223"/>
      <c r="C74" s="223"/>
    </row>
    <row r="77" spans="1:4" x14ac:dyDescent="0.3">
      <c r="A77" s="226" t="s">
        <v>80</v>
      </c>
      <c r="B77" s="226"/>
      <c r="C77" s="226"/>
    </row>
    <row r="78" spans="1:4" ht="16.2" thickBot="1" x14ac:dyDescent="0.35">
      <c r="A78" s="12"/>
    </row>
    <row r="79" spans="1:4" ht="16.2" thickBot="1" x14ac:dyDescent="0.35">
      <c r="A79" s="13" t="s">
        <v>81</v>
      </c>
      <c r="B79" s="135" t="s">
        <v>82</v>
      </c>
      <c r="C79" s="135" t="s">
        <v>57</v>
      </c>
      <c r="D79" s="135" t="s">
        <v>37</v>
      </c>
    </row>
    <row r="80" spans="1:4" ht="16.2" thickBot="1" x14ac:dyDescent="0.35">
      <c r="A80" s="15" t="s">
        <v>38</v>
      </c>
      <c r="B80" s="16" t="s">
        <v>130</v>
      </c>
      <c r="C80" s="27">
        <f>1/12/12</f>
        <v>6.9444444444444441E-3</v>
      </c>
      <c r="D80" s="23">
        <f t="shared" ref="D80:D86" si="1">(C$15)*C80</f>
        <v>18.604249045628283</v>
      </c>
    </row>
    <row r="81" spans="1:7" ht="16.2" thickBot="1" x14ac:dyDescent="0.35">
      <c r="A81" s="15" t="s">
        <v>40</v>
      </c>
      <c r="B81" s="16" t="s">
        <v>82</v>
      </c>
      <c r="C81" s="119">
        <v>0.02</v>
      </c>
      <c r="D81" s="23">
        <f t="shared" si="1"/>
        <v>53.580237251409457</v>
      </c>
    </row>
    <row r="82" spans="1:7" ht="16.2" thickBot="1" x14ac:dyDescent="0.35">
      <c r="A82" s="15" t="s">
        <v>41</v>
      </c>
      <c r="B82" s="16" t="s">
        <v>83</v>
      </c>
      <c r="C82" s="119">
        <v>1.4999999999999999E-2</v>
      </c>
      <c r="D82" s="23">
        <f t="shared" si="1"/>
        <v>40.185177938557089</v>
      </c>
    </row>
    <row r="83" spans="1:7" ht="16.2" thickBot="1" x14ac:dyDescent="0.35">
      <c r="A83" s="15" t="s">
        <v>42</v>
      </c>
      <c r="B83" s="16" t="s">
        <v>84</v>
      </c>
      <c r="C83" s="119">
        <v>0.01</v>
      </c>
      <c r="D83" s="23">
        <f t="shared" si="1"/>
        <v>26.790118625704729</v>
      </c>
    </row>
    <row r="84" spans="1:7" ht="16.2" thickBot="1" x14ac:dyDescent="0.35">
      <c r="A84" s="15" t="s">
        <v>43</v>
      </c>
      <c r="B84" s="16" t="s">
        <v>85</v>
      </c>
      <c r="C84" s="119">
        <v>0.01</v>
      </c>
      <c r="D84" s="23">
        <f t="shared" si="1"/>
        <v>26.790118625704729</v>
      </c>
    </row>
    <row r="85" spans="1:7" ht="16.2" thickBot="1" x14ac:dyDescent="0.35">
      <c r="A85" s="15" t="s">
        <v>45</v>
      </c>
      <c r="B85" s="120" t="s">
        <v>47</v>
      </c>
      <c r="C85" s="119">
        <v>0</v>
      </c>
      <c r="D85" s="23">
        <f t="shared" si="1"/>
        <v>0</v>
      </c>
    </row>
    <row r="86" spans="1:7" ht="16.2" thickBot="1" x14ac:dyDescent="0.35">
      <c r="A86" s="224" t="s">
        <v>64</v>
      </c>
      <c r="B86" s="225"/>
      <c r="C86" s="27">
        <f>SUM(C80:C85)</f>
        <v>6.1944444444444448E-2</v>
      </c>
      <c r="D86" s="23">
        <f t="shared" si="1"/>
        <v>165.9499014870043</v>
      </c>
    </row>
    <row r="87" spans="1:7" x14ac:dyDescent="0.3">
      <c r="C87" s="53">
        <f>C25+C39+C71+C86+E39</f>
        <v>0.78050204444444449</v>
      </c>
    </row>
    <row r="89" spans="1:7" x14ac:dyDescent="0.3">
      <c r="A89" s="226" t="s">
        <v>86</v>
      </c>
      <c r="B89" s="226"/>
      <c r="C89" s="226"/>
      <c r="F89" s="73"/>
      <c r="G89" s="73"/>
    </row>
    <row r="90" spans="1:7" ht="16.2" thickBot="1" x14ac:dyDescent="0.35">
      <c r="A90" s="12"/>
      <c r="E90" s="79"/>
      <c r="F90" s="79"/>
      <c r="G90" s="73"/>
    </row>
    <row r="91" spans="1:7" ht="16.2" thickBot="1" x14ac:dyDescent="0.35">
      <c r="A91" s="13" t="s">
        <v>87</v>
      </c>
      <c r="B91" s="135" t="s">
        <v>129</v>
      </c>
      <c r="C91" s="135" t="s">
        <v>37</v>
      </c>
      <c r="D91" s="79"/>
      <c r="E91" s="79"/>
      <c r="F91" s="70">
        <f>C10+C11+C12</f>
        <v>2620.6952000000001</v>
      </c>
      <c r="G91" s="79"/>
    </row>
    <row r="92" spans="1:7" ht="16.2" thickBot="1" x14ac:dyDescent="0.35">
      <c r="A92" s="15" t="s">
        <v>38</v>
      </c>
      <c r="B92" s="16" t="s">
        <v>102</v>
      </c>
      <c r="C92" s="52">
        <f>F94*0.5</f>
        <v>209.65561600000001</v>
      </c>
      <c r="D92" s="79"/>
      <c r="E92" s="79"/>
      <c r="F92" s="70">
        <f>F91/220</f>
        <v>11.912250909090909</v>
      </c>
      <c r="G92" s="79"/>
    </row>
    <row r="93" spans="1:7" ht="16.2" thickBot="1" x14ac:dyDescent="0.35">
      <c r="A93" s="224" t="s">
        <v>5</v>
      </c>
      <c r="B93" s="225"/>
      <c r="C93" s="52">
        <f>C92</f>
        <v>209.65561600000001</v>
      </c>
      <c r="D93" s="79"/>
      <c r="E93" s="79"/>
      <c r="F93" s="70">
        <f>F92*1.6</f>
        <v>19.059601454545454</v>
      </c>
      <c r="G93" s="79"/>
    </row>
    <row r="94" spans="1:7" x14ac:dyDescent="0.3">
      <c r="D94" s="79"/>
      <c r="E94" s="79"/>
      <c r="F94" s="70">
        <f>F93*22</f>
        <v>419.31123200000002</v>
      </c>
      <c r="G94" s="79"/>
    </row>
    <row r="95" spans="1:7" x14ac:dyDescent="0.3">
      <c r="D95" s="79"/>
      <c r="E95" s="79"/>
      <c r="F95" s="79"/>
      <c r="G95" s="79"/>
    </row>
    <row r="96" spans="1:7" x14ac:dyDescent="0.3">
      <c r="A96" s="226" t="s">
        <v>89</v>
      </c>
      <c r="B96" s="226"/>
      <c r="C96" s="226"/>
      <c r="D96" s="79"/>
      <c r="E96" s="79"/>
      <c r="F96" s="79"/>
      <c r="G96" s="79"/>
    </row>
    <row r="97" spans="1:7" ht="16.2" thickBot="1" x14ac:dyDescent="0.35">
      <c r="A97" s="12"/>
      <c r="D97" s="79"/>
      <c r="E97" s="79"/>
      <c r="F97" s="79"/>
      <c r="G97" s="79"/>
    </row>
    <row r="98" spans="1:7" ht="16.2" thickBot="1" x14ac:dyDescent="0.35">
      <c r="A98" s="13">
        <v>4</v>
      </c>
      <c r="B98" s="135" t="s">
        <v>90</v>
      </c>
      <c r="C98" s="135" t="s">
        <v>37</v>
      </c>
      <c r="D98" s="79"/>
      <c r="E98" s="79"/>
      <c r="F98" s="79"/>
      <c r="G98" s="79"/>
    </row>
    <row r="99" spans="1:7" ht="16.2" thickBot="1" x14ac:dyDescent="0.35">
      <c r="A99" s="15" t="s">
        <v>81</v>
      </c>
      <c r="B99" s="16" t="s">
        <v>82</v>
      </c>
      <c r="C99" s="23">
        <f>D86</f>
        <v>165.9499014870043</v>
      </c>
    </row>
    <row r="100" spans="1:7" ht="16.2" thickBot="1" x14ac:dyDescent="0.35">
      <c r="A100" s="15" t="s">
        <v>87</v>
      </c>
      <c r="B100" s="16" t="s">
        <v>88</v>
      </c>
      <c r="C100" s="23">
        <f>C93</f>
        <v>209.65561600000001</v>
      </c>
    </row>
    <row r="101" spans="1:7" ht="16.2" thickBot="1" x14ac:dyDescent="0.35">
      <c r="A101" s="224" t="s">
        <v>5</v>
      </c>
      <c r="B101" s="225"/>
      <c r="C101" s="39">
        <f>C99+C100</f>
        <v>375.60551748700431</v>
      </c>
    </row>
    <row r="104" spans="1:7" x14ac:dyDescent="0.3">
      <c r="A104" s="223" t="s">
        <v>91</v>
      </c>
      <c r="B104" s="223"/>
      <c r="C104" s="223"/>
    </row>
    <row r="105" spans="1:7" ht="16.2" thickBot="1" x14ac:dyDescent="0.35"/>
    <row r="106" spans="1:7" ht="16.2" thickBot="1" x14ac:dyDescent="0.35">
      <c r="A106" s="13">
        <v>5</v>
      </c>
      <c r="B106" s="19" t="s">
        <v>22</v>
      </c>
      <c r="C106" s="135" t="s">
        <v>37</v>
      </c>
    </row>
    <row r="107" spans="1:7" ht="16.2" thickBot="1" x14ac:dyDescent="0.35">
      <c r="A107" s="15" t="s">
        <v>38</v>
      </c>
      <c r="B107" s="16" t="s">
        <v>92</v>
      </c>
      <c r="C107" s="117">
        <f>'Planilha de Apoio - PRI Moto'!C46</f>
        <v>103.33333333333333</v>
      </c>
    </row>
    <row r="108" spans="1:7" ht="16.2" thickBot="1" x14ac:dyDescent="0.35">
      <c r="A108" s="15" t="s">
        <v>40</v>
      </c>
      <c r="B108" s="16" t="s">
        <v>93</v>
      </c>
      <c r="C108" s="117">
        <f>'Planilha de Apoio - PRI Moto'!D34</f>
        <v>72.938749999999999</v>
      </c>
    </row>
    <row r="109" spans="1:7" ht="16.2" thickBot="1" x14ac:dyDescent="0.35">
      <c r="A109" s="15" t="s">
        <v>41</v>
      </c>
      <c r="B109" s="120" t="s">
        <v>181</v>
      </c>
      <c r="C109" s="117">
        <f>'Planilha de Apoio - PRI Moto'!G75</f>
        <v>484.25441368888892</v>
      </c>
    </row>
    <row r="110" spans="1:7" ht="16.2" thickBot="1" x14ac:dyDescent="0.35">
      <c r="A110" s="15" t="s">
        <v>42</v>
      </c>
      <c r="B110" s="120" t="s">
        <v>146</v>
      </c>
      <c r="C110" s="117"/>
    </row>
    <row r="111" spans="1:7" ht="16.2" thickBot="1" x14ac:dyDescent="0.35">
      <c r="A111" s="224" t="s">
        <v>64</v>
      </c>
      <c r="B111" s="225"/>
      <c r="C111" s="23">
        <f>SUM(C107:C110)</f>
        <v>660.5264970222222</v>
      </c>
    </row>
    <row r="114" spans="1:4" x14ac:dyDescent="0.3">
      <c r="A114" s="223" t="s">
        <v>94</v>
      </c>
      <c r="B114" s="223"/>
      <c r="C114" s="223"/>
    </row>
    <row r="115" spans="1:4" ht="16.2" thickBot="1" x14ac:dyDescent="0.35"/>
    <row r="116" spans="1:4" ht="16.2" thickBot="1" x14ac:dyDescent="0.35">
      <c r="A116" s="13">
        <v>6</v>
      </c>
      <c r="B116" s="19" t="s">
        <v>23</v>
      </c>
      <c r="C116" s="135" t="s">
        <v>57</v>
      </c>
      <c r="D116" s="135" t="s">
        <v>37</v>
      </c>
    </row>
    <row r="117" spans="1:4" ht="16.2" thickBot="1" x14ac:dyDescent="0.35">
      <c r="A117" s="15" t="s">
        <v>38</v>
      </c>
      <c r="B117" s="43" t="s">
        <v>24</v>
      </c>
      <c r="C117" s="116">
        <f>'Posto 12x36 diurno ISS 2%'!C114</f>
        <v>0.1</v>
      </c>
      <c r="D117" s="45">
        <f>C117*C136</f>
        <v>654.87905114198679</v>
      </c>
    </row>
    <row r="118" spans="1:4" ht="16.2" thickBot="1" x14ac:dyDescent="0.35">
      <c r="A118" s="15" t="s">
        <v>40</v>
      </c>
      <c r="B118" s="43" t="s">
        <v>26</v>
      </c>
      <c r="C118" s="116">
        <f>C117</f>
        <v>0.1</v>
      </c>
      <c r="D118" s="45">
        <f>C118*(C136+D117)</f>
        <v>720.3669562561854</v>
      </c>
    </row>
    <row r="119" spans="1:4" ht="16.2" thickBot="1" x14ac:dyDescent="0.35">
      <c r="A119" s="15" t="s">
        <v>41</v>
      </c>
      <c r="B119" s="16" t="s">
        <v>25</v>
      </c>
      <c r="C119" s="17"/>
      <c r="D119" s="23">
        <f>(C$15+C$59+D$71+C$101+C$111)*C119</f>
        <v>0</v>
      </c>
    </row>
    <row r="120" spans="1:4" ht="16.2" thickBot="1" x14ac:dyDescent="0.35">
      <c r="A120" s="15"/>
      <c r="B120" s="43" t="s">
        <v>106</v>
      </c>
      <c r="C120" s="44">
        <f>C121+C122</f>
        <v>3.6499999999999998E-2</v>
      </c>
      <c r="D120" s="45">
        <f>C120*(C$136+D$117+D$118)</f>
        <v>289.22733293685843</v>
      </c>
    </row>
    <row r="121" spans="1:4" ht="16.2" thickBot="1" x14ac:dyDescent="0.35">
      <c r="A121" s="15"/>
      <c r="B121" s="16" t="s">
        <v>104</v>
      </c>
      <c r="C121" s="17">
        <v>0.03</v>
      </c>
      <c r="D121" s="23">
        <f>C121*(C$136+D$117+D$118)</f>
        <v>237.72109556454117</v>
      </c>
    </row>
    <row r="122" spans="1:4" ht="16.2" thickBot="1" x14ac:dyDescent="0.35">
      <c r="A122" s="15"/>
      <c r="B122" s="16" t="s">
        <v>105</v>
      </c>
      <c r="C122" s="17">
        <v>6.4999999999999997E-3</v>
      </c>
      <c r="D122" s="23">
        <f>C122*(C$136+D$117+D$118)</f>
        <v>51.506237372317251</v>
      </c>
    </row>
    <row r="123" spans="1:4" ht="16.2" thickBot="1" x14ac:dyDescent="0.35">
      <c r="A123" s="15"/>
      <c r="B123" s="43" t="s">
        <v>107</v>
      </c>
      <c r="C123" s="44">
        <v>0</v>
      </c>
      <c r="D123" s="45">
        <f>C123*(C$136+D$117+D$118)</f>
        <v>0</v>
      </c>
    </row>
    <row r="124" spans="1:4" ht="16.2" thickBot="1" x14ac:dyDescent="0.35">
      <c r="A124" s="15"/>
      <c r="B124" s="43" t="s">
        <v>108</v>
      </c>
      <c r="C124" s="44">
        <v>0.02</v>
      </c>
      <c r="D124" s="45">
        <f>C124*(C$136+D$117+D$118)</f>
        <v>158.48073037636078</v>
      </c>
    </row>
    <row r="125" spans="1:4" ht="16.2" thickBot="1" x14ac:dyDescent="0.35">
      <c r="A125" s="227" t="s">
        <v>64</v>
      </c>
      <c r="B125" s="228"/>
      <c r="C125" s="44">
        <f>C117+C118+C120+C123+C124</f>
        <v>0.25650000000000001</v>
      </c>
      <c r="D125" s="45">
        <f>D117+D118+D120+D123+D124</f>
        <v>1822.9540707113913</v>
      </c>
    </row>
    <row r="128" spans="1:4" x14ac:dyDescent="0.3">
      <c r="A128" s="223" t="s">
        <v>95</v>
      </c>
      <c r="B128" s="223"/>
      <c r="C128" s="223"/>
    </row>
    <row r="129" spans="1:3" ht="16.2" thickBot="1" x14ac:dyDescent="0.35"/>
    <row r="130" spans="1:3" ht="16.2" thickBot="1" x14ac:dyDescent="0.35">
      <c r="A130" s="13"/>
      <c r="B130" s="135" t="s">
        <v>96</v>
      </c>
      <c r="C130" s="135" t="s">
        <v>37</v>
      </c>
    </row>
    <row r="131" spans="1:3" ht="16.2" thickBot="1" x14ac:dyDescent="0.35">
      <c r="A131" s="21" t="s">
        <v>38</v>
      </c>
      <c r="B131" s="16" t="s">
        <v>35</v>
      </c>
      <c r="C131" s="42">
        <f>C15</f>
        <v>2679.0118625704727</v>
      </c>
    </row>
    <row r="132" spans="1:3" ht="16.2" thickBot="1" x14ac:dyDescent="0.35">
      <c r="A132" s="21" t="s">
        <v>40</v>
      </c>
      <c r="B132" s="16" t="s">
        <v>48</v>
      </c>
      <c r="C132" s="42">
        <f>C59</f>
        <v>2643.2353304056001</v>
      </c>
    </row>
    <row r="133" spans="1:3" ht="16.2" thickBot="1" x14ac:dyDescent="0.35">
      <c r="A133" s="21" t="s">
        <v>41</v>
      </c>
      <c r="B133" s="16" t="s">
        <v>71</v>
      </c>
      <c r="C133" s="42">
        <f>D71</f>
        <v>190.41130393456888</v>
      </c>
    </row>
    <row r="134" spans="1:3" ht="16.2" thickBot="1" x14ac:dyDescent="0.35">
      <c r="A134" s="21" t="s">
        <v>42</v>
      </c>
      <c r="B134" s="16" t="s">
        <v>79</v>
      </c>
      <c r="C134" s="42">
        <f>C101</f>
        <v>375.60551748700431</v>
      </c>
    </row>
    <row r="135" spans="1:3" ht="16.2" thickBot="1" x14ac:dyDescent="0.35">
      <c r="A135" s="21" t="s">
        <v>43</v>
      </c>
      <c r="B135" s="16" t="s">
        <v>91</v>
      </c>
      <c r="C135" s="42">
        <f>C111</f>
        <v>660.5264970222222</v>
      </c>
    </row>
    <row r="136" spans="1:3" ht="16.2" thickBot="1" x14ac:dyDescent="0.35">
      <c r="A136" s="224" t="s">
        <v>97</v>
      </c>
      <c r="B136" s="225"/>
      <c r="C136" s="42">
        <f>SUM(C131:C135)</f>
        <v>6548.7905114198675</v>
      </c>
    </row>
    <row r="137" spans="1:3" ht="16.2" thickBot="1" x14ac:dyDescent="0.35">
      <c r="A137" s="21" t="s">
        <v>45</v>
      </c>
      <c r="B137" s="16" t="s">
        <v>98</v>
      </c>
      <c r="C137" s="42">
        <f>D125</f>
        <v>1822.9540707113913</v>
      </c>
    </row>
    <row r="138" spans="1:3" x14ac:dyDescent="0.3">
      <c r="A138" s="221" t="s">
        <v>99</v>
      </c>
      <c r="B138" s="222"/>
      <c r="C138" s="49">
        <f>C136+C137</f>
        <v>8371.7445821312594</v>
      </c>
    </row>
    <row r="139" spans="1:3" x14ac:dyDescent="0.3">
      <c r="A139" s="218" t="s">
        <v>118</v>
      </c>
      <c r="B139" s="219"/>
      <c r="C139" s="51">
        <v>1</v>
      </c>
    </row>
    <row r="140" spans="1:3" ht="16.2" thickBot="1" x14ac:dyDescent="0.35">
      <c r="A140" s="220" t="s">
        <v>119</v>
      </c>
      <c r="B140" s="220"/>
      <c r="C140" s="50">
        <f>C138*C139</f>
        <v>8371.7445821312594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2:C62"/>
    <mergeCell ref="A7:C7"/>
    <mergeCell ref="A15:B15"/>
    <mergeCell ref="A18:C18"/>
    <mergeCell ref="A20:C20"/>
    <mergeCell ref="A25:B25"/>
    <mergeCell ref="A28:D28"/>
    <mergeCell ref="A39:B39"/>
    <mergeCell ref="A42:C42"/>
    <mergeCell ref="A50:B50"/>
    <mergeCell ref="A53:C53"/>
    <mergeCell ref="A59:B59"/>
    <mergeCell ref="A125:B125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14:C114"/>
    <mergeCell ref="A128:C128"/>
    <mergeCell ref="A136:B136"/>
    <mergeCell ref="A138:B138"/>
    <mergeCell ref="A139:B139"/>
    <mergeCell ref="A140:B140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76"/>
  <sheetViews>
    <sheetView workbookViewId="0">
      <selection activeCell="A3" sqref="A3:E3"/>
    </sheetView>
  </sheetViews>
  <sheetFormatPr defaultColWidth="9.109375" defaultRowHeight="14.4" x14ac:dyDescent="0.3"/>
  <cols>
    <col min="1" max="1" width="29.88671875" style="80" customWidth="1"/>
    <col min="2" max="2" width="20.109375" style="80" customWidth="1"/>
    <col min="3" max="4" width="27.33203125" style="80" bestFit="1" customWidth="1"/>
    <col min="5" max="5" width="13.88671875" style="80" customWidth="1"/>
    <col min="6" max="7" width="9.109375" style="80"/>
    <col min="8" max="8" width="11.5546875" style="80" bestFit="1" customWidth="1"/>
    <col min="9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165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6</v>
      </c>
      <c r="C6" s="1">
        <v>2</v>
      </c>
      <c r="D6" s="48">
        <v>22</v>
      </c>
      <c r="E6" s="85">
        <f t="shared" ref="E6" si="0">B6*C6*D6</f>
        <v>264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169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89">
        <f>B14-C14</f>
        <v>153.2664</v>
      </c>
      <c r="E14" s="90"/>
    </row>
    <row r="15" spans="1:5" ht="20.25" customHeight="1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Sex</v>
      </c>
      <c r="B17" s="251"/>
      <c r="C17" s="251"/>
      <c r="D17" s="252"/>
    </row>
    <row r="18" spans="1:5" ht="31.8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127.15559999999999</v>
      </c>
    </row>
    <row r="21" spans="1:5" ht="16.2" thickBot="1" x14ac:dyDescent="0.35">
      <c r="A21" s="260" t="s">
        <v>155</v>
      </c>
      <c r="B21" s="261"/>
      <c r="C21" s="261"/>
      <c r="D21" s="112">
        <f>D19-D20</f>
        <v>579.26440000000002</v>
      </c>
    </row>
    <row r="22" spans="1:5" ht="16.5" customHeight="1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36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  <row r="50" spans="1:17" x14ac:dyDescent="0.3">
      <c r="I50" s="87"/>
      <c r="J50" s="87"/>
      <c r="K50" s="87"/>
      <c r="L50" s="87"/>
      <c r="M50" s="87"/>
      <c r="N50" s="87"/>
      <c r="O50" s="87"/>
      <c r="P50" s="87"/>
      <c r="Q50" s="87"/>
    </row>
    <row r="51" spans="1:17" s="186" customFormat="1" ht="15.6" x14ac:dyDescent="0.3">
      <c r="A51" s="266" t="s">
        <v>182</v>
      </c>
      <c r="B51" s="267"/>
      <c r="C51" s="267"/>
      <c r="D51" s="267"/>
      <c r="E51" s="267"/>
      <c r="F51" s="267"/>
      <c r="G51" s="267"/>
      <c r="H51" s="268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s="186" customFormat="1" ht="15.6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53"/>
      <c r="L52" s="153"/>
      <c r="M52" s="153"/>
      <c r="N52" s="153"/>
      <c r="O52" s="153"/>
      <c r="P52" s="153"/>
      <c r="Q52" s="153"/>
    </row>
    <row r="53" spans="1:17" s="186" customFormat="1" ht="16.2" thickBot="1" x14ac:dyDescent="0.35">
      <c r="A53" s="269" t="s">
        <v>183</v>
      </c>
      <c r="B53" s="270"/>
      <c r="C53" s="165">
        <v>304.39999999999998</v>
      </c>
      <c r="D53" s="166" t="s">
        <v>184</v>
      </c>
      <c r="E53" s="149"/>
      <c r="F53" s="167" t="s">
        <v>185</v>
      </c>
      <c r="G53" s="149"/>
      <c r="H53" s="188">
        <v>40000</v>
      </c>
      <c r="I53" s="193"/>
      <c r="J53" s="193"/>
      <c r="K53" s="194"/>
      <c r="L53" s="195"/>
      <c r="M53" s="153"/>
      <c r="N53" s="193"/>
      <c r="O53" s="193"/>
      <c r="P53" s="193"/>
      <c r="Q53" s="193"/>
    </row>
    <row r="54" spans="1:17" s="186" customFormat="1" ht="15.6" x14ac:dyDescent="0.3">
      <c r="A54" s="150"/>
      <c r="B54" s="150"/>
      <c r="C54" s="151"/>
      <c r="D54" s="152"/>
      <c r="E54" s="153"/>
      <c r="F54" s="150"/>
      <c r="G54" s="153"/>
      <c r="H54" s="153"/>
      <c r="I54" s="154"/>
      <c r="J54" s="153"/>
      <c r="K54" s="155"/>
      <c r="L54" s="153"/>
      <c r="M54" s="153"/>
      <c r="N54" s="153"/>
      <c r="O54" s="153"/>
      <c r="P54" s="153"/>
      <c r="Q54" s="153"/>
    </row>
    <row r="55" spans="1:17" s="186" customFormat="1" ht="16.2" thickBot="1" x14ac:dyDescent="0.35">
      <c r="A55" s="264" t="s">
        <v>186</v>
      </c>
      <c r="B55" s="265"/>
      <c r="C55" s="265"/>
      <c r="D55" s="265"/>
      <c r="E55" s="265"/>
      <c r="F55" s="265"/>
      <c r="G55" s="265"/>
      <c r="H55" s="265"/>
      <c r="I55" s="193"/>
      <c r="J55" s="148"/>
      <c r="K55" s="148"/>
      <c r="L55" s="153"/>
      <c r="M55" s="153"/>
      <c r="N55" s="153"/>
      <c r="O55" s="153"/>
      <c r="P55" s="153"/>
      <c r="Q55" s="153"/>
    </row>
    <row r="56" spans="1:17" s="186" customFormat="1" ht="15.6" x14ac:dyDescent="0.3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3"/>
      <c r="L56" s="153"/>
      <c r="M56" s="153"/>
      <c r="N56" s="153"/>
      <c r="O56" s="153"/>
      <c r="P56" s="153"/>
      <c r="Q56" s="153"/>
    </row>
    <row r="57" spans="1:17" s="186" customFormat="1" ht="16.2" thickBot="1" x14ac:dyDescent="0.35">
      <c r="A57" s="168" t="s">
        <v>187</v>
      </c>
      <c r="B57" s="162" t="s">
        <v>188</v>
      </c>
      <c r="C57" s="162" t="s">
        <v>189</v>
      </c>
      <c r="D57" s="162" t="s">
        <v>190</v>
      </c>
      <c r="E57" s="162" t="s">
        <v>191</v>
      </c>
      <c r="F57" s="162" t="s">
        <v>192</v>
      </c>
      <c r="G57" s="162" t="s">
        <v>193</v>
      </c>
      <c r="H57" s="162" t="s">
        <v>194</v>
      </c>
      <c r="I57" s="193"/>
      <c r="J57" s="150"/>
      <c r="K57" s="193"/>
      <c r="L57" s="158"/>
      <c r="M57" s="193"/>
      <c r="N57" s="153"/>
      <c r="O57" s="193"/>
      <c r="P57" s="153"/>
      <c r="Q57" s="193"/>
    </row>
    <row r="58" spans="1:17" s="186" customFormat="1" ht="15.6" x14ac:dyDescent="0.3">
      <c r="A58" s="148"/>
      <c r="B58" s="148"/>
      <c r="C58" s="148"/>
      <c r="D58" s="148"/>
      <c r="E58" s="148"/>
      <c r="F58" s="150"/>
      <c r="G58" s="149"/>
      <c r="H58" s="149"/>
      <c r="I58" s="193"/>
      <c r="J58" s="150"/>
      <c r="K58" s="193"/>
      <c r="L58" s="153"/>
      <c r="M58" s="193"/>
      <c r="N58" s="153"/>
      <c r="O58" s="193"/>
      <c r="P58" s="153"/>
      <c r="Q58" s="193"/>
    </row>
    <row r="59" spans="1:17" s="186" customFormat="1" ht="15.6" x14ac:dyDescent="0.3">
      <c r="A59" s="152" t="s">
        <v>195</v>
      </c>
      <c r="B59" s="169">
        <v>4</v>
      </c>
      <c r="C59" s="170" t="s">
        <v>196</v>
      </c>
      <c r="D59" s="272">
        <v>45000</v>
      </c>
      <c r="E59" s="273">
        <v>184.5</v>
      </c>
      <c r="F59" s="171">
        <f>IF(D59&gt;0,(E59*B59)/D59,0)</f>
        <v>1.6400000000000001E-2</v>
      </c>
      <c r="G59" s="172">
        <f>F59*C53</f>
        <v>4.9921600000000002</v>
      </c>
      <c r="H59" s="189">
        <f t="shared" ref="H59:H65" si="5">G59+L59</f>
        <v>4.9921600000000002</v>
      </c>
      <c r="I59" s="193"/>
      <c r="J59" s="150"/>
      <c r="K59" s="193"/>
      <c r="L59" s="196"/>
      <c r="M59" s="193"/>
      <c r="N59" s="153"/>
      <c r="O59" s="193"/>
      <c r="P59" s="153"/>
      <c r="Q59" s="193"/>
    </row>
    <row r="60" spans="1:17" s="186" customFormat="1" ht="15.6" x14ac:dyDescent="0.3">
      <c r="A60" s="152" t="s">
        <v>197</v>
      </c>
      <c r="B60" s="169">
        <v>1</v>
      </c>
      <c r="C60" s="170" t="s">
        <v>198</v>
      </c>
      <c r="D60" s="274">
        <v>25</v>
      </c>
      <c r="E60" s="273">
        <v>8</v>
      </c>
      <c r="F60" s="171">
        <f>IF(D60&gt;0,(E60/D60),0)</f>
        <v>0.32</v>
      </c>
      <c r="G60" s="172">
        <f>F60*C53</f>
        <v>97.408000000000001</v>
      </c>
      <c r="H60" s="189">
        <f t="shared" si="5"/>
        <v>97.408000000000001</v>
      </c>
      <c r="I60" s="193"/>
      <c r="J60" s="150"/>
      <c r="K60" s="193"/>
      <c r="L60" s="196"/>
      <c r="M60" s="193"/>
      <c r="N60" s="153"/>
      <c r="O60" s="193"/>
      <c r="P60" s="153"/>
      <c r="Q60" s="193"/>
    </row>
    <row r="61" spans="1:17" s="186" customFormat="1" ht="15.6" x14ac:dyDescent="0.3">
      <c r="A61" s="152" t="s">
        <v>199</v>
      </c>
      <c r="B61" s="169">
        <v>1</v>
      </c>
      <c r="C61" s="173" t="s">
        <v>198</v>
      </c>
      <c r="D61" s="272">
        <v>20000</v>
      </c>
      <c r="E61" s="273">
        <v>25</v>
      </c>
      <c r="F61" s="171">
        <f>IF(D61&gt;0,(E61*B61)/D61,0)</f>
        <v>1.25E-3</v>
      </c>
      <c r="G61" s="172">
        <f>F61*C53</f>
        <v>0.3805</v>
      </c>
      <c r="H61" s="189">
        <f t="shared" si="5"/>
        <v>0.3805</v>
      </c>
      <c r="I61" s="193"/>
      <c r="J61" s="150"/>
      <c r="K61" s="193"/>
      <c r="L61" s="196"/>
      <c r="M61" s="193"/>
      <c r="N61" s="153"/>
      <c r="O61" s="193"/>
      <c r="P61" s="153"/>
      <c r="Q61" s="193"/>
    </row>
    <row r="62" spans="1:17" s="186" customFormat="1" ht="15.6" x14ac:dyDescent="0.3">
      <c r="A62" s="156" t="s">
        <v>200</v>
      </c>
      <c r="B62" s="169">
        <v>1</v>
      </c>
      <c r="C62" s="174" t="s">
        <v>198</v>
      </c>
      <c r="D62" s="272">
        <v>20000</v>
      </c>
      <c r="E62" s="273">
        <v>45</v>
      </c>
      <c r="F62" s="171">
        <f>IF(D62&gt;0,(E62*B62)/D62,0)</f>
        <v>2.2499999999999998E-3</v>
      </c>
      <c r="G62" s="172">
        <f>F62*C53</f>
        <v>0.68489999999999984</v>
      </c>
      <c r="H62" s="189">
        <f t="shared" si="5"/>
        <v>0.68489999999999984</v>
      </c>
      <c r="I62" s="193"/>
      <c r="J62" s="150"/>
      <c r="K62" s="193"/>
      <c r="L62" s="196"/>
      <c r="M62" s="193"/>
      <c r="N62" s="153"/>
      <c r="O62" s="193"/>
      <c r="P62" s="153"/>
      <c r="Q62" s="193"/>
    </row>
    <row r="63" spans="1:17" s="186" customFormat="1" ht="15.6" x14ac:dyDescent="0.3">
      <c r="A63" s="152" t="s">
        <v>201</v>
      </c>
      <c r="B63" s="169">
        <v>1</v>
      </c>
      <c r="C63" s="174" t="s">
        <v>196</v>
      </c>
      <c r="D63" s="272">
        <v>1250</v>
      </c>
      <c r="E63" s="273">
        <v>30</v>
      </c>
      <c r="F63" s="171">
        <f>IF(D63&gt;0,(E63*B63)/D63,0)</f>
        <v>2.4E-2</v>
      </c>
      <c r="G63" s="172">
        <f>F63*C53</f>
        <v>7.3055999999999992</v>
      </c>
      <c r="H63" s="189">
        <f t="shared" si="5"/>
        <v>7.3055999999999992</v>
      </c>
      <c r="I63" s="193"/>
      <c r="J63" s="150"/>
      <c r="K63" s="193"/>
      <c r="L63" s="196"/>
      <c r="M63" s="193"/>
      <c r="N63" s="153"/>
      <c r="O63" s="193"/>
      <c r="P63" s="153"/>
      <c r="Q63" s="193"/>
    </row>
    <row r="64" spans="1:17" s="186" customFormat="1" ht="16.2" thickBot="1" x14ac:dyDescent="0.35">
      <c r="A64" s="150" t="s">
        <v>202</v>
      </c>
      <c r="B64" s="175">
        <v>2</v>
      </c>
      <c r="C64" s="176" t="s">
        <v>196</v>
      </c>
      <c r="D64" s="272">
        <v>45000</v>
      </c>
      <c r="E64" s="273">
        <v>220</v>
      </c>
      <c r="F64" s="171">
        <f>IF(D64&gt;0,(E64*B64)/D64,0)</f>
        <v>9.7777777777777776E-3</v>
      </c>
      <c r="G64" s="172">
        <f>F64*C53</f>
        <v>2.9763555555555552</v>
      </c>
      <c r="H64" s="189">
        <f t="shared" si="5"/>
        <v>2.9763555555555552</v>
      </c>
      <c r="I64" s="193"/>
      <c r="J64" s="150"/>
      <c r="K64" s="193"/>
      <c r="L64" s="196"/>
      <c r="M64" s="193"/>
      <c r="N64" s="153"/>
      <c r="O64" s="193"/>
      <c r="P64" s="153"/>
      <c r="Q64" s="193"/>
    </row>
    <row r="65" spans="1:17" s="186" customFormat="1" ht="16.2" thickBot="1" x14ac:dyDescent="0.35">
      <c r="A65" s="159" t="s">
        <v>203</v>
      </c>
      <c r="B65" s="150"/>
      <c r="C65" s="187"/>
      <c r="D65" s="275">
        <v>10000</v>
      </c>
      <c r="E65" s="276">
        <v>0.01</v>
      </c>
      <c r="F65" s="177">
        <f>IF(D65&gt;0,E65*(H53-(B60*E60))/D65,0)</f>
        <v>3.9992E-2</v>
      </c>
      <c r="G65" s="178">
        <f>F65*C53</f>
        <v>12.173564799999999</v>
      </c>
      <c r="H65" s="190">
        <f t="shared" si="5"/>
        <v>12.173564799999999</v>
      </c>
      <c r="I65" s="193"/>
      <c r="J65" s="150"/>
      <c r="K65" s="193"/>
      <c r="L65" s="196"/>
      <c r="M65" s="193"/>
      <c r="N65" s="153"/>
      <c r="O65" s="193"/>
      <c r="P65" s="153"/>
      <c r="Q65" s="193"/>
    </row>
    <row r="66" spans="1:17" s="186" customFormat="1" ht="15.6" x14ac:dyDescent="0.3">
      <c r="A66" s="149"/>
      <c r="B66" s="149"/>
      <c r="C66" s="149"/>
      <c r="D66" s="150"/>
      <c r="E66" s="150"/>
      <c r="F66" s="150"/>
      <c r="G66" s="149"/>
      <c r="H66" s="149"/>
      <c r="I66" s="150"/>
      <c r="J66" s="150"/>
      <c r="K66" s="193"/>
      <c r="L66" s="153"/>
      <c r="M66" s="193"/>
      <c r="N66" s="153"/>
      <c r="O66" s="193"/>
      <c r="P66" s="153"/>
      <c r="Q66" s="193"/>
    </row>
    <row r="67" spans="1:17" s="186" customFormat="1" ht="16.2" thickBot="1" x14ac:dyDescent="0.35">
      <c r="A67" s="150"/>
      <c r="B67" s="150"/>
      <c r="C67" s="157"/>
      <c r="D67" s="150"/>
      <c r="E67" s="179" t="s">
        <v>194</v>
      </c>
      <c r="F67" s="180">
        <f>SUM(F59:F64)</f>
        <v>0.37367777777777778</v>
      </c>
      <c r="G67" s="181">
        <f>SUM(G59:G64)</f>
        <v>113.74751555555555</v>
      </c>
      <c r="H67" s="191">
        <f>SUM(H59:H65)</f>
        <v>125.92108035555555</v>
      </c>
      <c r="I67" s="193"/>
      <c r="J67" s="158"/>
      <c r="K67" s="193"/>
      <c r="L67" s="157"/>
      <c r="M67" s="193"/>
      <c r="N67" s="153"/>
      <c r="O67" s="193"/>
      <c r="P67" s="153"/>
      <c r="Q67" s="193"/>
    </row>
    <row r="68" spans="1:17" s="186" customFormat="1" ht="15.6" x14ac:dyDescent="0.3">
      <c r="A68" s="150"/>
      <c r="B68" s="150"/>
      <c r="C68" s="157"/>
      <c r="D68" s="150"/>
      <c r="E68" s="159"/>
      <c r="F68" s="150"/>
      <c r="G68" s="149"/>
      <c r="H68" s="149"/>
      <c r="I68" s="160"/>
      <c r="J68" s="150"/>
      <c r="K68" s="150"/>
      <c r="L68" s="153"/>
      <c r="M68" s="153"/>
      <c r="N68" s="153"/>
      <c r="O68" s="153"/>
      <c r="P68" s="153"/>
      <c r="Q68" s="153"/>
    </row>
    <row r="69" spans="1:17" s="186" customFormat="1" ht="16.2" thickBot="1" x14ac:dyDescent="0.35">
      <c r="A69" s="161"/>
      <c r="B69" s="162"/>
      <c r="C69" s="162" t="s">
        <v>204</v>
      </c>
      <c r="D69" s="162"/>
      <c r="E69" s="162"/>
      <c r="F69" s="163"/>
      <c r="G69" s="162"/>
      <c r="H69" s="162"/>
      <c r="I69" s="193"/>
      <c r="J69" s="148"/>
      <c r="K69" s="148"/>
      <c r="L69" s="153"/>
      <c r="M69" s="153"/>
      <c r="N69" s="153"/>
      <c r="O69" s="153"/>
      <c r="P69" s="153"/>
      <c r="Q69" s="153"/>
    </row>
    <row r="70" spans="1:17" s="186" customFormat="1" ht="15.6" x14ac:dyDescent="0.3">
      <c r="A70" s="148"/>
      <c r="B70" s="148"/>
      <c r="C70" s="148" t="s">
        <v>205</v>
      </c>
      <c r="D70" s="148" t="s">
        <v>206</v>
      </c>
      <c r="E70" s="148"/>
      <c r="F70" s="148"/>
      <c r="G70" s="148"/>
      <c r="H70" s="148"/>
      <c r="I70" s="193"/>
      <c r="J70" s="148"/>
      <c r="K70" s="193"/>
      <c r="L70" s="153"/>
      <c r="M70" s="153"/>
      <c r="N70" s="153"/>
      <c r="O70" s="153"/>
      <c r="P70" s="153"/>
      <c r="Q70" s="153"/>
    </row>
    <row r="71" spans="1:17" s="186" customFormat="1" ht="16.2" thickBot="1" x14ac:dyDescent="0.35">
      <c r="A71" s="262" t="s">
        <v>207</v>
      </c>
      <c r="B71" s="263"/>
      <c r="C71" s="277">
        <f>H53*2%</f>
        <v>800</v>
      </c>
      <c r="D71" s="178">
        <f>C71/12</f>
        <v>66.666666666666671</v>
      </c>
      <c r="E71" s="148"/>
      <c r="F71" s="148"/>
      <c r="G71" s="148"/>
      <c r="H71" s="148"/>
      <c r="I71" s="193"/>
      <c r="J71" s="148"/>
      <c r="K71" s="193"/>
      <c r="L71" s="153"/>
      <c r="M71" s="153"/>
      <c r="N71" s="153"/>
      <c r="O71" s="153"/>
      <c r="P71" s="153"/>
      <c r="Q71" s="153"/>
    </row>
    <row r="72" spans="1:17" s="186" customFormat="1" ht="15.6" x14ac:dyDescent="0.3">
      <c r="A72" s="148"/>
      <c r="B72" s="148"/>
      <c r="C72" s="148"/>
      <c r="D72" s="148"/>
      <c r="E72" s="148"/>
      <c r="F72" s="148"/>
      <c r="G72" s="148"/>
      <c r="H72" s="148"/>
      <c r="I72" s="193"/>
      <c r="J72" s="148"/>
      <c r="K72" s="193"/>
      <c r="L72" s="153"/>
      <c r="M72" s="153"/>
      <c r="N72" s="153"/>
      <c r="O72" s="153"/>
      <c r="P72" s="153"/>
      <c r="Q72" s="153"/>
    </row>
    <row r="73" spans="1:17" s="186" customFormat="1" ht="16.2" thickBot="1" x14ac:dyDescent="0.35">
      <c r="A73" s="150" t="s">
        <v>208</v>
      </c>
      <c r="B73" s="148"/>
      <c r="C73" s="277">
        <v>3500</v>
      </c>
      <c r="D73" s="178">
        <f>C73/12</f>
        <v>291.66666666666669</v>
      </c>
      <c r="E73" s="182" t="s">
        <v>5</v>
      </c>
      <c r="F73" s="149"/>
      <c r="G73" s="183">
        <f>SUM(D71:D73)</f>
        <v>358.33333333333337</v>
      </c>
      <c r="H73" s="148"/>
      <c r="I73" s="193"/>
      <c r="J73" s="148"/>
      <c r="K73" s="193"/>
      <c r="L73" s="153"/>
      <c r="M73" s="153"/>
      <c r="N73" s="153"/>
      <c r="O73" s="193"/>
      <c r="P73" s="193"/>
      <c r="Q73" s="193"/>
    </row>
    <row r="74" spans="1:17" s="186" customFormat="1" ht="15.6" x14ac:dyDescent="0.3">
      <c r="A74" s="150"/>
      <c r="B74" s="150"/>
      <c r="C74" s="157"/>
      <c r="D74" s="150"/>
      <c r="E74" s="149"/>
      <c r="F74" s="149"/>
      <c r="G74" s="149"/>
      <c r="H74" s="153"/>
      <c r="I74" s="160"/>
      <c r="J74" s="150"/>
      <c r="K74" s="150"/>
      <c r="L74" s="153"/>
      <c r="M74" s="153"/>
      <c r="N74" s="153"/>
      <c r="O74" s="193"/>
      <c r="P74" s="193"/>
      <c r="Q74" s="193"/>
    </row>
    <row r="75" spans="1:17" s="186" customFormat="1" ht="16.2" thickBot="1" x14ac:dyDescent="0.35">
      <c r="A75" s="149"/>
      <c r="B75" s="149"/>
      <c r="C75" s="149"/>
      <c r="D75" s="150"/>
      <c r="E75" s="184" t="s">
        <v>209</v>
      </c>
      <c r="F75" s="164"/>
      <c r="G75" s="185">
        <f>IF(C53&gt;0,H67+G73,0)</f>
        <v>484.25441368888892</v>
      </c>
      <c r="H75" s="153"/>
      <c r="I75" s="153"/>
      <c r="J75" s="158"/>
      <c r="K75" s="153"/>
      <c r="L75" s="153"/>
      <c r="M75" s="153"/>
      <c r="N75" s="153"/>
      <c r="O75" s="193"/>
      <c r="P75" s="193"/>
      <c r="Q75" s="193"/>
    </row>
    <row r="76" spans="1:17" x14ac:dyDescent="0.3">
      <c r="I76" s="87"/>
      <c r="J76" s="87"/>
      <c r="K76" s="87"/>
      <c r="L76" s="87"/>
      <c r="M76" s="87"/>
      <c r="N76" s="87"/>
      <c r="O76" s="87"/>
      <c r="P76" s="87"/>
      <c r="Q76" s="87"/>
    </row>
  </sheetData>
  <sheetProtection password="F668" sheet="1" objects="1" scenarios="1"/>
  <mergeCells count="19">
    <mergeCell ref="A34:C34"/>
    <mergeCell ref="A3:E3"/>
    <mergeCell ref="A4:E4"/>
    <mergeCell ref="A8:E8"/>
    <mergeCell ref="A12:D12"/>
    <mergeCell ref="A16:D16"/>
    <mergeCell ref="A17:D17"/>
    <mergeCell ref="A20:B20"/>
    <mergeCell ref="A21:C21"/>
    <mergeCell ref="A23:D23"/>
    <mergeCell ref="A26:D26"/>
    <mergeCell ref="A27:D27"/>
    <mergeCell ref="A71:B71"/>
    <mergeCell ref="A55:H55"/>
    <mergeCell ref="A35:D35"/>
    <mergeCell ref="A43:C43"/>
    <mergeCell ref="A44:C44"/>
    <mergeCell ref="A51:H51"/>
    <mergeCell ref="A53:B53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A17" sqref="A17:C1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31" t="s">
        <v>100</v>
      </c>
      <c r="B1" s="231"/>
      <c r="C1" s="231"/>
      <c r="D1" s="231"/>
    </row>
    <row r="2" spans="1:6" ht="22.8" x14ac:dyDescent="0.4">
      <c r="A2" s="231" t="s">
        <v>101</v>
      </c>
      <c r="B2" s="231"/>
      <c r="C2" s="231"/>
      <c r="D2" s="231"/>
    </row>
    <row r="3" spans="1:6" x14ac:dyDescent="0.3">
      <c r="A3" s="235"/>
      <c r="B3" s="235"/>
      <c r="C3" s="235"/>
      <c r="D3" s="235"/>
    </row>
    <row r="4" spans="1:6" x14ac:dyDescent="0.3">
      <c r="A4" s="32" t="s">
        <v>109</v>
      </c>
      <c r="B4" s="230" t="s">
        <v>163</v>
      </c>
      <c r="C4" s="230"/>
    </row>
    <row r="5" spans="1:6" x14ac:dyDescent="0.3">
      <c r="A5" s="32" t="s">
        <v>110</v>
      </c>
      <c r="B5" s="230" t="s">
        <v>167</v>
      </c>
      <c r="C5" s="230"/>
      <c r="E5" s="53"/>
    </row>
    <row r="6" spans="1:6" x14ac:dyDescent="0.3">
      <c r="A6" s="32"/>
      <c r="B6" s="230"/>
      <c r="C6" s="230"/>
    </row>
    <row r="7" spans="1:6" x14ac:dyDescent="0.3">
      <c r="A7" s="234" t="s">
        <v>35</v>
      </c>
      <c r="B7" s="234"/>
      <c r="C7" s="234"/>
    </row>
    <row r="8" spans="1:6" ht="16.2" thickBot="1" x14ac:dyDescent="0.35"/>
    <row r="9" spans="1:6" ht="16.2" thickBot="1" x14ac:dyDescent="0.35">
      <c r="A9" s="13">
        <v>1</v>
      </c>
      <c r="B9" s="135" t="s">
        <v>36</v>
      </c>
      <c r="C9" s="13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140"/>
      <c r="E10" s="140"/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141"/>
      <c r="E11" s="140"/>
      <c r="F11" s="79"/>
    </row>
    <row r="12" spans="1:6" ht="16.2" thickBot="1" x14ac:dyDescent="0.35">
      <c r="A12" s="232" t="s">
        <v>5</v>
      </c>
      <c r="B12" s="233"/>
      <c r="C12" s="39">
        <f>SUM(C10:C11)</f>
        <v>2399.2280000000001</v>
      </c>
      <c r="D12" s="79"/>
      <c r="E12" s="79"/>
      <c r="F12" s="79"/>
    </row>
    <row r="13" spans="1:6" x14ac:dyDescent="0.3">
      <c r="D13" s="79"/>
      <c r="E13" s="79"/>
      <c r="F13" s="79"/>
    </row>
    <row r="14" spans="1:6" x14ac:dyDescent="0.3">
      <c r="D14" s="79"/>
      <c r="E14" s="79"/>
      <c r="F14" s="79"/>
    </row>
    <row r="15" spans="1:6" x14ac:dyDescent="0.3">
      <c r="A15" s="223" t="s">
        <v>48</v>
      </c>
      <c r="B15" s="223"/>
      <c r="C15" s="223"/>
    </row>
    <row r="16" spans="1:6" x14ac:dyDescent="0.3">
      <c r="A16" s="12"/>
    </row>
    <row r="17" spans="1:4" x14ac:dyDescent="0.3">
      <c r="A17" s="226" t="s">
        <v>49</v>
      </c>
      <c r="B17" s="226"/>
      <c r="C17" s="226"/>
    </row>
    <row r="18" spans="1:4" ht="16.2" thickBot="1" x14ac:dyDescent="0.35"/>
    <row r="19" spans="1:4" ht="16.2" thickBot="1" x14ac:dyDescent="0.35">
      <c r="A19" s="13" t="s">
        <v>50</v>
      </c>
      <c r="B19" s="135" t="s">
        <v>51</v>
      </c>
      <c r="C19" s="135" t="s">
        <v>57</v>
      </c>
      <c r="D19" s="135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29" t="s">
        <v>54</v>
      </c>
      <c r="B25" s="229"/>
      <c r="C25" s="229"/>
      <c r="D25" s="229"/>
    </row>
    <row r="26" spans="1:4" ht="16.2" thickBot="1" x14ac:dyDescent="0.35"/>
    <row r="27" spans="1:4" ht="16.2" thickBot="1" x14ac:dyDescent="0.35">
      <c r="A27" s="13" t="s">
        <v>55</v>
      </c>
      <c r="B27" s="135" t="s">
        <v>56</v>
      </c>
      <c r="C27" s="135" t="s">
        <v>57</v>
      </c>
      <c r="D27" s="135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5">
        <f>'Posto 12x36 diurno ISS 2%'!C30</f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6" t="s">
        <v>65</v>
      </c>
      <c r="B39" s="226"/>
      <c r="C39" s="226"/>
    </row>
    <row r="40" spans="1:5" ht="16.2" thickBot="1" x14ac:dyDescent="0.35"/>
    <row r="41" spans="1:5" ht="16.2" thickBot="1" x14ac:dyDescent="0.35">
      <c r="A41" s="13" t="s">
        <v>66</v>
      </c>
      <c r="B41" s="135" t="s">
        <v>67</v>
      </c>
      <c r="C41" s="135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SAD Seg Sex'!D14</f>
        <v>109.2664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SAD Seg Sex'!D21</f>
        <v>579.26440000000002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SAD Seg Sex'!D25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232" t="s">
        <v>5</v>
      </c>
      <c r="B47" s="233"/>
      <c r="C47" s="23">
        <f>SUM(C42:C46)</f>
        <v>864.6223</v>
      </c>
    </row>
    <row r="50" spans="1:4" x14ac:dyDescent="0.3">
      <c r="A50" s="226" t="s">
        <v>69</v>
      </c>
      <c r="B50" s="226"/>
      <c r="C50" s="226"/>
    </row>
    <row r="51" spans="1:4" ht="16.2" thickBot="1" x14ac:dyDescent="0.35"/>
    <row r="52" spans="1:4" ht="16.2" thickBot="1" x14ac:dyDescent="0.35">
      <c r="A52" s="13">
        <v>2</v>
      </c>
      <c r="B52" s="135" t="s">
        <v>70</v>
      </c>
      <c r="C52" s="135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864.6223</v>
      </c>
    </row>
    <row r="56" spans="1:4" ht="16.2" thickBot="1" x14ac:dyDescent="0.35">
      <c r="A56" s="224" t="s">
        <v>5</v>
      </c>
      <c r="B56" s="225"/>
      <c r="C56" s="23">
        <f>SUM(C53:C55)</f>
        <v>2418.0802035872002</v>
      </c>
    </row>
    <row r="57" spans="1:4" x14ac:dyDescent="0.3">
      <c r="A57" s="2"/>
    </row>
    <row r="59" spans="1:4" x14ac:dyDescent="0.3">
      <c r="A59" s="223" t="s">
        <v>71</v>
      </c>
      <c r="B59" s="223"/>
      <c r="C59" s="223"/>
    </row>
    <row r="60" spans="1:4" ht="16.2" thickBot="1" x14ac:dyDescent="0.35"/>
    <row r="61" spans="1:4" ht="16.2" thickBot="1" x14ac:dyDescent="0.35">
      <c r="A61" s="13">
        <v>3</v>
      </c>
      <c r="B61" s="135" t="s">
        <v>72</v>
      </c>
      <c r="C61" s="135" t="s">
        <v>57</v>
      </c>
      <c r="D61" s="135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3" t="s">
        <v>79</v>
      </c>
      <c r="B71" s="223"/>
      <c r="C71" s="223"/>
    </row>
    <row r="74" spans="1:4" x14ac:dyDescent="0.3">
      <c r="A74" s="226" t="s">
        <v>80</v>
      </c>
      <c r="B74" s="226"/>
      <c r="C74" s="226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5" t="s">
        <v>82</v>
      </c>
      <c r="C76" s="135" t="s">
        <v>57</v>
      </c>
      <c r="D76" s="135" t="s">
        <v>37</v>
      </c>
    </row>
    <row r="77" spans="1:4" ht="16.2" thickBot="1" x14ac:dyDescent="0.35">
      <c r="A77" s="15" t="s">
        <v>38</v>
      </c>
      <c r="B77" s="16" t="s">
        <v>130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7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7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7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7" x14ac:dyDescent="0.3">
      <c r="C84" s="53">
        <f>C22+C36+C68+C83+E36</f>
        <v>0.78050204444444449</v>
      </c>
    </row>
    <row r="86" spans="1:7" x14ac:dyDescent="0.3">
      <c r="A86" s="226" t="s">
        <v>86</v>
      </c>
      <c r="B86" s="226"/>
      <c r="C86" s="226"/>
      <c r="F86" s="73"/>
      <c r="G86" s="73"/>
    </row>
    <row r="87" spans="1:7" ht="16.2" thickBot="1" x14ac:dyDescent="0.35">
      <c r="A87" s="12"/>
      <c r="F87" s="73"/>
      <c r="G87" s="73"/>
    </row>
    <row r="88" spans="1:7" ht="16.2" thickBot="1" x14ac:dyDescent="0.35">
      <c r="A88" s="13" t="s">
        <v>87</v>
      </c>
      <c r="B88" s="135" t="s">
        <v>129</v>
      </c>
      <c r="C88" s="135" t="s">
        <v>37</v>
      </c>
      <c r="D88" s="79"/>
      <c r="E88" s="79"/>
      <c r="F88" s="70">
        <f>C10+C11</f>
        <v>2399.2280000000001</v>
      </c>
      <c r="G88" s="79"/>
    </row>
    <row r="89" spans="1:7" ht="16.2" thickBot="1" x14ac:dyDescent="0.35">
      <c r="A89" s="15" t="s">
        <v>38</v>
      </c>
      <c r="B89" s="16" t="s">
        <v>102</v>
      </c>
      <c r="C89" s="52">
        <f>F91*0.5</f>
        <v>191.93824000000004</v>
      </c>
      <c r="D89" s="79"/>
      <c r="E89" s="79"/>
      <c r="F89" s="70">
        <f>F88/220</f>
        <v>10.905581818181819</v>
      </c>
      <c r="G89" s="79"/>
    </row>
    <row r="90" spans="1:7" ht="16.2" thickBot="1" x14ac:dyDescent="0.35">
      <c r="A90" s="224" t="s">
        <v>5</v>
      </c>
      <c r="B90" s="225"/>
      <c r="C90" s="52">
        <f>C89</f>
        <v>191.93824000000004</v>
      </c>
      <c r="D90" s="79"/>
      <c r="E90" s="79"/>
      <c r="F90" s="70">
        <f>F89*1.6</f>
        <v>17.448930909090912</v>
      </c>
      <c r="G90" s="79"/>
    </row>
    <row r="91" spans="1:7" x14ac:dyDescent="0.3">
      <c r="D91" s="79"/>
      <c r="E91" s="79"/>
      <c r="F91" s="70">
        <f>F90*22</f>
        <v>383.87648000000007</v>
      </c>
      <c r="G91" s="79"/>
    </row>
    <row r="92" spans="1:7" x14ac:dyDescent="0.3">
      <c r="D92" s="79"/>
      <c r="E92" s="79"/>
      <c r="F92" s="79"/>
      <c r="G92" s="79"/>
    </row>
    <row r="93" spans="1:7" x14ac:dyDescent="0.3">
      <c r="A93" s="226" t="s">
        <v>89</v>
      </c>
      <c r="B93" s="226"/>
      <c r="C93" s="226"/>
      <c r="D93" s="79"/>
      <c r="E93" s="79"/>
      <c r="F93" s="79"/>
      <c r="G93" s="79"/>
    </row>
    <row r="94" spans="1:7" ht="16.2" thickBot="1" x14ac:dyDescent="0.35">
      <c r="A94" s="12"/>
      <c r="D94" s="79"/>
      <c r="E94" s="79"/>
      <c r="F94" s="79"/>
      <c r="G94" s="79"/>
    </row>
    <row r="95" spans="1:7" ht="16.2" thickBot="1" x14ac:dyDescent="0.35">
      <c r="A95" s="13">
        <v>4</v>
      </c>
      <c r="B95" s="135" t="s">
        <v>90</v>
      </c>
      <c r="C95" s="135" t="s">
        <v>37</v>
      </c>
      <c r="D95" s="79"/>
      <c r="E95" s="79"/>
      <c r="F95" s="79"/>
      <c r="G95" s="79"/>
    </row>
    <row r="96" spans="1:7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191.93824000000004</v>
      </c>
    </row>
    <row r="98" spans="1:3" ht="16.2" thickBot="1" x14ac:dyDescent="0.35">
      <c r="A98" s="224" t="s">
        <v>5</v>
      </c>
      <c r="B98" s="225"/>
      <c r="C98" s="39">
        <f>C96+C97</f>
        <v>340.5570855555556</v>
      </c>
    </row>
    <row r="101" spans="1:3" x14ac:dyDescent="0.3">
      <c r="A101" s="223" t="s">
        <v>91</v>
      </c>
      <c r="B101" s="223"/>
      <c r="C101" s="223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5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SAD Seg Sex'!C46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SAD Seg Sex'!D34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3" t="s">
        <v>94</v>
      </c>
      <c r="B111" s="223"/>
      <c r="C111" s="223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5" t="s">
        <v>57</v>
      </c>
      <c r="D113" s="135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f>'Posto 12x36 diurno ISS 2%'!C114</f>
        <v>0.1</v>
      </c>
      <c r="D114" s="45">
        <f>C114*C133</f>
        <v>550.46629824216893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605.51292806638583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243.11344061865387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199.8192662619073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43.294174356746581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0.03</v>
      </c>
      <c r="D121" s="45">
        <f>C121*(C$133+D$114+D$115)</f>
        <v>199.8192662619073</v>
      </c>
    </row>
    <row r="122" spans="1:4" ht="16.2" thickBot="1" x14ac:dyDescent="0.35">
      <c r="A122" s="227" t="s">
        <v>64</v>
      </c>
      <c r="B122" s="228"/>
      <c r="C122" s="44">
        <f>C114+C115+C117+C120+C121</f>
        <v>0.26650000000000001</v>
      </c>
      <c r="D122" s="45">
        <f>D114+D115+D117+D120+D121</f>
        <v>1598.9119331891159</v>
      </c>
    </row>
    <row r="125" spans="1:4" x14ac:dyDescent="0.3">
      <c r="A125" s="223" t="s">
        <v>95</v>
      </c>
      <c r="B125" s="223"/>
      <c r="C125" s="223"/>
    </row>
    <row r="126" spans="1:4" ht="16.2" thickBot="1" x14ac:dyDescent="0.35"/>
    <row r="127" spans="1:4" ht="16.2" thickBot="1" x14ac:dyDescent="0.35">
      <c r="A127" s="13"/>
      <c r="B127" s="135" t="s">
        <v>96</v>
      </c>
      <c r="C127" s="135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2418.0802035872002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340.5570855555556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5504.6629824216889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1598.9119331891159</v>
      </c>
    </row>
    <row r="135" spans="1:3" x14ac:dyDescent="0.3">
      <c r="A135" s="221" t="s">
        <v>99</v>
      </c>
      <c r="B135" s="222"/>
      <c r="C135" s="49">
        <f>C133+C134</f>
        <v>7103.574915610805</v>
      </c>
    </row>
    <row r="136" spans="1:3" x14ac:dyDescent="0.3">
      <c r="A136" s="218" t="s">
        <v>118</v>
      </c>
      <c r="B136" s="219"/>
      <c r="C136" s="51">
        <v>2</v>
      </c>
    </row>
    <row r="137" spans="1:3" ht="16.2" thickBot="1" x14ac:dyDescent="0.35">
      <c r="A137" s="220" t="s">
        <v>119</v>
      </c>
      <c r="B137" s="220"/>
      <c r="C137" s="50">
        <f>C135*C136</f>
        <v>14207.14983122161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19" workbookViewId="0">
      <selection activeCell="G22" sqref="G22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153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5</v>
      </c>
      <c r="C6" s="1">
        <v>2</v>
      </c>
      <c r="D6" s="48">
        <v>22</v>
      </c>
      <c r="E6" s="85">
        <f t="shared" ref="E6" si="0">B6*C6*D6</f>
        <v>220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157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89">
        <f>B14-C14</f>
        <v>109.2664</v>
      </c>
      <c r="E14" s="90"/>
    </row>
    <row r="15" spans="1:5" ht="20.25" customHeight="1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Sab</v>
      </c>
      <c r="B17" s="251"/>
      <c r="C17" s="251"/>
      <c r="D17" s="252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127.15559999999999</v>
      </c>
    </row>
    <row r="21" spans="1:5" ht="16.2" thickBot="1" x14ac:dyDescent="0.35">
      <c r="A21" s="260" t="s">
        <v>155</v>
      </c>
      <c r="B21" s="261"/>
      <c r="C21" s="261"/>
      <c r="D21" s="112">
        <f>D19-D20</f>
        <v>579.26440000000002</v>
      </c>
    </row>
    <row r="22" spans="1:5" ht="16.5" customHeight="1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36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C51" sqref="C51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31" t="s">
        <v>100</v>
      </c>
      <c r="B1" s="231"/>
      <c r="C1" s="231"/>
      <c r="D1" s="231"/>
    </row>
    <row r="2" spans="1:6" ht="22.8" x14ac:dyDescent="0.4">
      <c r="A2" s="231" t="s">
        <v>101</v>
      </c>
      <c r="B2" s="231"/>
      <c r="C2" s="231"/>
      <c r="D2" s="231"/>
    </row>
    <row r="3" spans="1:6" x14ac:dyDescent="0.3">
      <c r="A3" s="235"/>
      <c r="B3" s="235"/>
      <c r="C3" s="235"/>
      <c r="D3" s="235"/>
    </row>
    <row r="4" spans="1:6" x14ac:dyDescent="0.3">
      <c r="A4" s="32" t="s">
        <v>109</v>
      </c>
      <c r="B4" s="230" t="s">
        <v>163</v>
      </c>
      <c r="C4" s="230"/>
    </row>
    <row r="5" spans="1:6" x14ac:dyDescent="0.3">
      <c r="A5" s="32" t="s">
        <v>110</v>
      </c>
      <c r="B5" s="230" t="s">
        <v>213</v>
      </c>
      <c r="C5" s="230"/>
      <c r="E5" s="53"/>
    </row>
    <row r="6" spans="1:6" x14ac:dyDescent="0.3">
      <c r="A6" s="32"/>
      <c r="B6" s="230"/>
      <c r="C6" s="230"/>
    </row>
    <row r="7" spans="1:6" x14ac:dyDescent="0.3">
      <c r="A7" s="234" t="s">
        <v>35</v>
      </c>
      <c r="B7" s="234"/>
      <c r="C7" s="234"/>
    </row>
    <row r="8" spans="1:6" ht="16.2" thickBot="1" x14ac:dyDescent="0.35"/>
    <row r="9" spans="1:6" ht="16.2" thickBot="1" x14ac:dyDescent="0.35">
      <c r="A9" s="13">
        <v>1</v>
      </c>
      <c r="B9" s="135" t="s">
        <v>36</v>
      </c>
      <c r="C9" s="13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147">
        <f>E10*1.6</f>
        <v>17.448930909090912</v>
      </c>
      <c r="F13" s="79"/>
    </row>
    <row r="14" spans="1:6" ht="16.2" thickBot="1" x14ac:dyDescent="0.35">
      <c r="A14" s="15" t="s">
        <v>43</v>
      </c>
      <c r="B14" s="16" t="s">
        <v>214</v>
      </c>
      <c r="C14" s="23">
        <f>D14*E13</f>
        <v>340.7776206545455</v>
      </c>
      <c r="D14" s="73">
        <f>4.5*4.34</f>
        <v>19.53</v>
      </c>
      <c r="E14" s="147"/>
      <c r="F14" s="79"/>
    </row>
    <row r="15" spans="1:6" ht="16.2" thickBot="1" x14ac:dyDescent="0.35">
      <c r="A15" s="15" t="s">
        <v>45</v>
      </c>
      <c r="B15" s="16" t="s">
        <v>215</v>
      </c>
      <c r="C15" s="23">
        <f>C14*21.7%</f>
        <v>73.94874368203638</v>
      </c>
      <c r="D15" s="73"/>
      <c r="E15" s="147"/>
      <c r="F15" s="79"/>
    </row>
    <row r="16" spans="1:6" ht="16.2" thickBot="1" x14ac:dyDescent="0.35">
      <c r="A16" s="232" t="s">
        <v>5</v>
      </c>
      <c r="B16" s="233"/>
      <c r="C16" s="39">
        <f>SUM(C10:C15)</f>
        <v>2842.1631784907636</v>
      </c>
      <c r="D16" s="79"/>
      <c r="E16" s="79"/>
      <c r="F16" s="79"/>
    </row>
    <row r="17" spans="1:6" x14ac:dyDescent="0.3">
      <c r="D17" s="79"/>
      <c r="E17" s="79"/>
      <c r="F17" s="79"/>
    </row>
    <row r="18" spans="1:6" x14ac:dyDescent="0.3">
      <c r="D18" s="79"/>
      <c r="E18" s="79"/>
      <c r="F18" s="79"/>
    </row>
    <row r="19" spans="1:6" x14ac:dyDescent="0.3">
      <c r="A19" s="223" t="s">
        <v>48</v>
      </c>
      <c r="B19" s="223"/>
      <c r="C19" s="223"/>
    </row>
    <row r="20" spans="1:6" x14ac:dyDescent="0.3">
      <c r="A20" s="12"/>
    </row>
    <row r="21" spans="1:6" x14ac:dyDescent="0.3">
      <c r="A21" s="226" t="s">
        <v>49</v>
      </c>
      <c r="B21" s="226"/>
      <c r="C21" s="226"/>
    </row>
    <row r="22" spans="1:6" ht="16.2" thickBot="1" x14ac:dyDescent="0.35"/>
    <row r="23" spans="1:6" ht="16.2" thickBot="1" x14ac:dyDescent="0.35">
      <c r="A23" s="13" t="s">
        <v>50</v>
      </c>
      <c r="B23" s="135" t="s">
        <v>51</v>
      </c>
      <c r="C23" s="135" t="s">
        <v>57</v>
      </c>
      <c r="D23" s="135" t="s">
        <v>37</v>
      </c>
    </row>
    <row r="24" spans="1:6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236.75219276828059</v>
      </c>
    </row>
    <row r="25" spans="1:6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343.90174459738239</v>
      </c>
    </row>
    <row r="26" spans="1:6" ht="16.2" thickBot="1" x14ac:dyDescent="0.35">
      <c r="A26" s="224" t="s">
        <v>5</v>
      </c>
      <c r="B26" s="225"/>
      <c r="C26" s="40">
        <f>SUM(C24:C25)</f>
        <v>0.20429999999999998</v>
      </c>
      <c r="D26" s="41">
        <f>C$16*C26</f>
        <v>580.65393736566296</v>
      </c>
    </row>
    <row r="29" spans="1:6" x14ac:dyDescent="0.3">
      <c r="A29" s="229" t="s">
        <v>54</v>
      </c>
      <c r="B29" s="229"/>
      <c r="C29" s="229"/>
      <c r="D29" s="229"/>
    </row>
    <row r="30" spans="1:6" ht="16.2" thickBot="1" x14ac:dyDescent="0.35"/>
    <row r="31" spans="1:6" ht="16.2" thickBot="1" x14ac:dyDescent="0.35">
      <c r="A31" s="13" t="s">
        <v>55</v>
      </c>
      <c r="B31" s="135" t="s">
        <v>56</v>
      </c>
      <c r="C31" s="135" t="s">
        <v>57</v>
      </c>
      <c r="D31" s="135" t="s">
        <v>37</v>
      </c>
    </row>
    <row r="32" spans="1:6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684.56342317128531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85.570427896410663</v>
      </c>
    </row>
    <row r="34" spans="1:5" ht="16.2" thickBot="1" x14ac:dyDescent="0.35">
      <c r="A34" s="15" t="s">
        <v>41</v>
      </c>
      <c r="B34" s="16" t="s">
        <v>60</v>
      </c>
      <c r="C34" s="115">
        <f>'Posto 12x36 diurno ISS 2%'!C30</f>
        <v>0.03</v>
      </c>
      <c r="D34" s="38">
        <f t="shared" si="0"/>
        <v>102.68451347569278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51.342256737846391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34.228171158564265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20.536902695138558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6.8456342317128529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273.82536926851412</v>
      </c>
    </row>
    <row r="40" spans="1:5" ht="16.2" thickBot="1" x14ac:dyDescent="0.35">
      <c r="A40" s="224" t="s">
        <v>64</v>
      </c>
      <c r="B40" s="225"/>
      <c r="C40" s="17">
        <f>SUM(C32:C39)</f>
        <v>0.36800000000000005</v>
      </c>
      <c r="D40" s="38">
        <f t="shared" si="0"/>
        <v>1259.596698635165</v>
      </c>
      <c r="E40" s="68">
        <f>C40*C26</f>
        <v>7.5182399999999996E-2</v>
      </c>
    </row>
    <row r="43" spans="1:5" x14ac:dyDescent="0.3">
      <c r="A43" s="226" t="s">
        <v>65</v>
      </c>
      <c r="B43" s="226"/>
      <c r="C43" s="226"/>
    </row>
    <row r="44" spans="1:5" ht="16.2" thickBot="1" x14ac:dyDescent="0.35"/>
    <row r="45" spans="1:5" ht="16.2" thickBot="1" x14ac:dyDescent="0.35">
      <c r="A45" s="13" t="s">
        <v>66</v>
      </c>
      <c r="B45" s="135" t="s">
        <v>67</v>
      </c>
      <c r="C45" s="135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'Planilha de Apoio - SBC Seg Sáb'!D14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'Planilha de Apoio - SBC Seg Sáb'!D21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7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'Planilha de Apoio - SBC Seg Sáb'!D25</f>
        <v>161.0915</v>
      </c>
    </row>
    <row r="50" spans="1:3" ht="16.2" thickBot="1" x14ac:dyDescent="0.35">
      <c r="A50" s="46" t="s">
        <v>43</v>
      </c>
      <c r="B50" s="118" t="s">
        <v>145</v>
      </c>
      <c r="C50" s="117"/>
    </row>
    <row r="51" spans="1:3" ht="16.2" thickBot="1" x14ac:dyDescent="0.35">
      <c r="A51" s="232" t="s">
        <v>5</v>
      </c>
      <c r="B51" s="233"/>
      <c r="C51" s="23">
        <f>SUM(C46:C50)</f>
        <v>1009.9431</v>
      </c>
    </row>
    <row r="54" spans="1:3" x14ac:dyDescent="0.3">
      <c r="A54" s="226" t="s">
        <v>69</v>
      </c>
      <c r="B54" s="226"/>
      <c r="C54" s="226"/>
    </row>
    <row r="55" spans="1:3" ht="16.2" thickBot="1" x14ac:dyDescent="0.35"/>
    <row r="56" spans="1:3" ht="16.2" thickBot="1" x14ac:dyDescent="0.35">
      <c r="A56" s="13">
        <v>2</v>
      </c>
      <c r="B56" s="135" t="s">
        <v>70</v>
      </c>
      <c r="C56" s="135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580.65393736566296</v>
      </c>
    </row>
    <row r="58" spans="1:3" ht="16.2" thickBot="1" x14ac:dyDescent="0.35">
      <c r="A58" s="15" t="s">
        <v>55</v>
      </c>
      <c r="B58" s="16" t="s">
        <v>56</v>
      </c>
      <c r="C58" s="23">
        <f>D40</f>
        <v>1259.596698635165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224" t="s">
        <v>5</v>
      </c>
      <c r="B60" s="225"/>
      <c r="C60" s="23">
        <f>SUM(C57:C59)</f>
        <v>2850.1937360008278</v>
      </c>
    </row>
    <row r="61" spans="1:3" x14ac:dyDescent="0.3">
      <c r="A61" s="2"/>
    </row>
    <row r="63" spans="1:3" x14ac:dyDescent="0.3">
      <c r="A63" s="223" t="s">
        <v>71</v>
      </c>
      <c r="B63" s="223"/>
      <c r="C63" s="223"/>
    </row>
    <row r="64" spans="1:3" ht="16.2" thickBot="1" x14ac:dyDescent="0.35"/>
    <row r="65" spans="1:4" ht="16.2" thickBot="1" x14ac:dyDescent="0.35">
      <c r="A65" s="13">
        <v>3</v>
      </c>
      <c r="B65" s="135" t="s">
        <v>72</v>
      </c>
      <c r="C65" s="135" t="s">
        <v>57</v>
      </c>
      <c r="D65" s="135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11.937085349661206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0.95496682797289656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10.231787442566748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55.137965662720816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20.290771363881262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103.4547396970638</v>
      </c>
    </row>
    <row r="72" spans="1:4" ht="16.2" thickBot="1" x14ac:dyDescent="0.35">
      <c r="A72" s="224" t="s">
        <v>5</v>
      </c>
      <c r="B72" s="225"/>
      <c r="C72" s="27">
        <f>SUM(C66:C71)</f>
        <v>7.1075200000000005E-2</v>
      </c>
      <c r="D72" s="23">
        <f>SUM(D66:D71)</f>
        <v>202.00731634386673</v>
      </c>
    </row>
    <row r="75" spans="1:4" x14ac:dyDescent="0.3">
      <c r="A75" s="223" t="s">
        <v>79</v>
      </c>
      <c r="B75" s="223"/>
      <c r="C75" s="223"/>
    </row>
    <row r="78" spans="1:4" x14ac:dyDescent="0.3">
      <c r="A78" s="226" t="s">
        <v>80</v>
      </c>
      <c r="B78" s="226"/>
      <c r="C78" s="226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135" t="s">
        <v>82</v>
      </c>
      <c r="C80" s="135" t="s">
        <v>57</v>
      </c>
      <c r="D80" s="135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19.737244295074746</v>
      </c>
    </row>
    <row r="82" spans="1:7" ht="16.2" thickBot="1" x14ac:dyDescent="0.35">
      <c r="A82" s="15" t="s">
        <v>40</v>
      </c>
      <c r="B82" s="16" t="s">
        <v>82</v>
      </c>
      <c r="C82" s="119">
        <v>0.02</v>
      </c>
      <c r="D82" s="23">
        <f t="shared" si="1"/>
        <v>56.843263569815271</v>
      </c>
    </row>
    <row r="83" spans="1:7" ht="16.2" thickBot="1" x14ac:dyDescent="0.35">
      <c r="A83" s="15" t="s">
        <v>41</v>
      </c>
      <c r="B83" s="16" t="s">
        <v>83</v>
      </c>
      <c r="C83" s="119">
        <v>1.4999999999999999E-2</v>
      </c>
      <c r="D83" s="23">
        <f t="shared" si="1"/>
        <v>42.632447677361455</v>
      </c>
    </row>
    <row r="84" spans="1:7" ht="16.2" thickBot="1" x14ac:dyDescent="0.35">
      <c r="A84" s="15" t="s">
        <v>42</v>
      </c>
      <c r="B84" s="16" t="s">
        <v>84</v>
      </c>
      <c r="C84" s="119">
        <v>0.01</v>
      </c>
      <c r="D84" s="23">
        <f t="shared" si="1"/>
        <v>28.421631784907635</v>
      </c>
    </row>
    <row r="85" spans="1:7" ht="16.2" thickBot="1" x14ac:dyDescent="0.35">
      <c r="A85" s="15" t="s">
        <v>43</v>
      </c>
      <c r="B85" s="16" t="s">
        <v>85</v>
      </c>
      <c r="C85" s="119">
        <v>0.01</v>
      </c>
      <c r="D85" s="23">
        <f t="shared" si="1"/>
        <v>28.421631784907635</v>
      </c>
    </row>
    <row r="86" spans="1:7" ht="16.2" thickBot="1" x14ac:dyDescent="0.35">
      <c r="A86" s="15" t="s">
        <v>45</v>
      </c>
      <c r="B86" s="120" t="s">
        <v>47</v>
      </c>
      <c r="C86" s="119">
        <v>0</v>
      </c>
      <c r="D86" s="23">
        <f t="shared" si="1"/>
        <v>0</v>
      </c>
    </row>
    <row r="87" spans="1:7" ht="16.2" thickBot="1" x14ac:dyDescent="0.35">
      <c r="A87" s="224" t="s">
        <v>64</v>
      </c>
      <c r="B87" s="225"/>
      <c r="C87" s="27">
        <f>SUM(C81:C86)</f>
        <v>6.1944444444444448E-2</v>
      </c>
      <c r="D87" s="23">
        <f t="shared" si="1"/>
        <v>176.05621911206674</v>
      </c>
    </row>
    <row r="88" spans="1:7" x14ac:dyDescent="0.3">
      <c r="C88" s="53">
        <f>C26+C40+C72+C87+E40</f>
        <v>0.78050204444444449</v>
      </c>
    </row>
    <row r="90" spans="1:7" x14ac:dyDescent="0.3">
      <c r="A90" s="226" t="s">
        <v>86</v>
      </c>
      <c r="B90" s="226"/>
      <c r="C90" s="226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135" t="s">
        <v>129</v>
      </c>
      <c r="C92" s="135" t="s">
        <v>37</v>
      </c>
      <c r="D92" s="79"/>
      <c r="E92" s="79"/>
      <c r="F92" s="70">
        <f>C10+C11</f>
        <v>2399.2280000000001</v>
      </c>
      <c r="G92" s="79"/>
    </row>
    <row r="93" spans="1:7" ht="16.2" thickBot="1" x14ac:dyDescent="0.35">
      <c r="A93" s="15" t="s">
        <v>38</v>
      </c>
      <c r="B93" s="16" t="s">
        <v>102</v>
      </c>
      <c r="C93" s="52">
        <f>F95*0.5</f>
        <v>191.93824000000004</v>
      </c>
      <c r="D93" s="79"/>
      <c r="E93" s="79"/>
      <c r="F93" s="70">
        <f>F92/220</f>
        <v>10.905581818181819</v>
      </c>
      <c r="G93" s="79"/>
    </row>
    <row r="94" spans="1:7" ht="16.2" thickBot="1" x14ac:dyDescent="0.35">
      <c r="A94" s="224" t="s">
        <v>5</v>
      </c>
      <c r="B94" s="225"/>
      <c r="C94" s="52">
        <f>C93</f>
        <v>191.93824000000004</v>
      </c>
      <c r="D94" s="79"/>
      <c r="E94" s="79"/>
      <c r="F94" s="70">
        <f>F93*1.6</f>
        <v>17.448930909090912</v>
      </c>
      <c r="G94" s="79"/>
    </row>
    <row r="95" spans="1:7" x14ac:dyDescent="0.3">
      <c r="D95" s="79"/>
      <c r="E95" s="79"/>
      <c r="F95" s="70">
        <f>F94*22</f>
        <v>383.87648000000007</v>
      </c>
      <c r="G95" s="79"/>
    </row>
    <row r="96" spans="1:7" x14ac:dyDescent="0.3">
      <c r="D96" s="79"/>
      <c r="E96" s="79"/>
      <c r="F96" s="79"/>
      <c r="G96" s="79"/>
    </row>
    <row r="97" spans="1:7" x14ac:dyDescent="0.3">
      <c r="A97" s="226" t="s">
        <v>89</v>
      </c>
      <c r="B97" s="226"/>
      <c r="C97" s="226"/>
      <c r="D97" s="79"/>
      <c r="E97" s="79"/>
      <c r="F97" s="79"/>
      <c r="G97" s="79"/>
    </row>
    <row r="98" spans="1:7" ht="16.2" thickBot="1" x14ac:dyDescent="0.35">
      <c r="A98" s="12"/>
      <c r="D98" s="79"/>
      <c r="E98" s="79"/>
      <c r="F98" s="79"/>
      <c r="G98" s="79"/>
    </row>
    <row r="99" spans="1:7" ht="16.2" thickBot="1" x14ac:dyDescent="0.35">
      <c r="A99" s="13">
        <v>4</v>
      </c>
      <c r="B99" s="135" t="s">
        <v>90</v>
      </c>
      <c r="C99" s="135" t="s">
        <v>37</v>
      </c>
      <c r="D99" s="79"/>
      <c r="E99" s="79"/>
      <c r="F99" s="79"/>
      <c r="G99" s="79"/>
    </row>
    <row r="100" spans="1:7" ht="16.2" thickBot="1" x14ac:dyDescent="0.35">
      <c r="A100" s="15" t="s">
        <v>81</v>
      </c>
      <c r="B100" s="16" t="s">
        <v>82</v>
      </c>
      <c r="C100" s="23">
        <f>D87</f>
        <v>176.05621911206674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191.93824000000004</v>
      </c>
    </row>
    <row r="102" spans="1:7" ht="16.2" thickBot="1" x14ac:dyDescent="0.35">
      <c r="A102" s="224" t="s">
        <v>5</v>
      </c>
      <c r="B102" s="225"/>
      <c r="C102" s="39">
        <f>C100+C101</f>
        <v>367.99445911206681</v>
      </c>
    </row>
    <row r="105" spans="1:7" x14ac:dyDescent="0.3">
      <c r="A105" s="223" t="s">
        <v>91</v>
      </c>
      <c r="B105" s="223"/>
      <c r="C105" s="223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135" t="s">
        <v>37</v>
      </c>
    </row>
    <row r="108" spans="1:7" ht="16.2" thickBot="1" x14ac:dyDescent="0.35">
      <c r="A108" s="15" t="s">
        <v>38</v>
      </c>
      <c r="B108" s="16" t="s">
        <v>92</v>
      </c>
      <c r="C108" s="117">
        <f>'Planilha de Apoio - SBC Seg Sáb'!C46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7">
        <f>'Planilha de Apoio - SBC Seg Sáb'!D34</f>
        <v>72.938749999999999</v>
      </c>
    </row>
    <row r="110" spans="1:7" ht="16.2" thickBot="1" x14ac:dyDescent="0.35">
      <c r="A110" s="15" t="s">
        <v>41</v>
      </c>
      <c r="B110" s="120" t="s">
        <v>146</v>
      </c>
      <c r="C110" s="117"/>
    </row>
    <row r="111" spans="1:7" ht="16.2" thickBot="1" x14ac:dyDescent="0.35">
      <c r="A111" s="15" t="s">
        <v>42</v>
      </c>
      <c r="B111" s="120" t="s">
        <v>146</v>
      </c>
      <c r="C111" s="117"/>
    </row>
    <row r="112" spans="1:7" ht="16.2" thickBot="1" x14ac:dyDescent="0.35">
      <c r="A112" s="224" t="s">
        <v>64</v>
      </c>
      <c r="B112" s="225"/>
      <c r="C112" s="23">
        <f>SUM(C108:C111)</f>
        <v>176.27208333333334</v>
      </c>
    </row>
    <row r="115" spans="1:4" x14ac:dyDescent="0.3">
      <c r="A115" s="223" t="s">
        <v>94</v>
      </c>
      <c r="B115" s="223"/>
      <c r="C115" s="223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135" t="s">
        <v>57</v>
      </c>
      <c r="D117" s="135" t="s">
        <v>37</v>
      </c>
    </row>
    <row r="118" spans="1:4" ht="16.2" thickBot="1" x14ac:dyDescent="0.35">
      <c r="A118" s="15" t="s">
        <v>38</v>
      </c>
      <c r="B118" s="43" t="s">
        <v>24</v>
      </c>
      <c r="C118" s="116">
        <f>'Posto 12x36 diurno ISS 2%'!C114</f>
        <v>0.1</v>
      </c>
      <c r="D118" s="45">
        <f>C118*C137</f>
        <v>643.86307732808575</v>
      </c>
    </row>
    <row r="119" spans="1:4" ht="16.2" thickBot="1" x14ac:dyDescent="0.35">
      <c r="A119" s="15" t="s">
        <v>40</v>
      </c>
      <c r="B119" s="43" t="s">
        <v>26</v>
      </c>
      <c r="C119" s="116">
        <f>C118</f>
        <v>0.1</v>
      </c>
      <c r="D119" s="45">
        <f>C119*(C137+D118)</f>
        <v>708.24938506089438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284.36212810194905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233.72229707009512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50.639831031853937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0.03</v>
      </c>
      <c r="D125" s="45">
        <f>C125*(C$137+D$118+D$119)</f>
        <v>233.72229707009512</v>
      </c>
    </row>
    <row r="126" spans="1:4" ht="16.2" thickBot="1" x14ac:dyDescent="0.35">
      <c r="A126" s="227" t="s">
        <v>64</v>
      </c>
      <c r="B126" s="228"/>
      <c r="C126" s="44">
        <f>C118+C119+C121+C124+C125</f>
        <v>0.26650000000000001</v>
      </c>
      <c r="D126" s="45">
        <f>D118+D119+D121+D124+D125</f>
        <v>1870.1968875610241</v>
      </c>
    </row>
    <row r="129" spans="1:3" x14ac:dyDescent="0.3">
      <c r="A129" s="223" t="s">
        <v>95</v>
      </c>
      <c r="B129" s="223"/>
      <c r="C129" s="223"/>
    </row>
    <row r="130" spans="1:3" ht="16.2" thickBot="1" x14ac:dyDescent="0.35"/>
    <row r="131" spans="1:3" ht="16.2" thickBot="1" x14ac:dyDescent="0.35">
      <c r="A131" s="13"/>
      <c r="B131" s="135" t="s">
        <v>96</v>
      </c>
      <c r="C131" s="135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2842.1631784907636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2850.1937360008278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202.00731634386673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367.99445911206681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224" t="s">
        <v>97</v>
      </c>
      <c r="B137" s="225"/>
      <c r="C137" s="42">
        <f>SUM(C132:C136)</f>
        <v>6438.6307732808573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1870.1968875610241</v>
      </c>
    </row>
    <row r="139" spans="1:3" x14ac:dyDescent="0.3">
      <c r="A139" s="221" t="s">
        <v>99</v>
      </c>
      <c r="B139" s="222"/>
      <c r="C139" s="49">
        <f>C137+C138</f>
        <v>8308.8276608418819</v>
      </c>
    </row>
    <row r="140" spans="1:3" x14ac:dyDescent="0.3">
      <c r="A140" s="218" t="s">
        <v>118</v>
      </c>
      <c r="B140" s="219"/>
      <c r="C140" s="51">
        <v>2</v>
      </c>
    </row>
    <row r="141" spans="1:3" ht="16.2" thickBot="1" x14ac:dyDescent="0.35">
      <c r="A141" s="220" t="s">
        <v>119</v>
      </c>
      <c r="B141" s="220"/>
      <c r="C141" s="50">
        <f>C139*C140</f>
        <v>16617.655321683764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129:C129"/>
    <mergeCell ref="A137:B137"/>
    <mergeCell ref="A139:B139"/>
    <mergeCell ref="A140:B140"/>
    <mergeCell ref="A141:B14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E51" sqref="E51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153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5</v>
      </c>
      <c r="C6" s="1">
        <v>2</v>
      </c>
      <c r="D6" s="48">
        <v>26</v>
      </c>
      <c r="E6" s="85">
        <f t="shared" ref="E6" si="0">B6*C6*D6</f>
        <v>260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157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89">
        <f>B14-C14</f>
        <v>149.2664</v>
      </c>
      <c r="E14" s="90"/>
    </row>
    <row r="15" spans="1:5" ht="20.25" customHeight="1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Sab</v>
      </c>
      <c r="B17" s="251"/>
      <c r="C17" s="251"/>
      <c r="D17" s="252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26</v>
      </c>
      <c r="D19" s="85">
        <f>(B19*C19)</f>
        <v>834.86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150.2748</v>
      </c>
    </row>
    <row r="21" spans="1:5" ht="16.2" thickBot="1" x14ac:dyDescent="0.35">
      <c r="A21" s="260" t="s">
        <v>155</v>
      </c>
      <c r="B21" s="261"/>
      <c r="C21" s="261"/>
      <c r="D21" s="112">
        <f>D19-D20</f>
        <v>684.58519999999999</v>
      </c>
    </row>
    <row r="22" spans="1:5" ht="16.5" customHeight="1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36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workbookViewId="0">
      <selection activeCell="A15" sqref="A15:B1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7" ht="22.8" x14ac:dyDescent="0.4">
      <c r="A1" s="231" t="s">
        <v>100</v>
      </c>
      <c r="B1" s="231"/>
      <c r="C1" s="231"/>
      <c r="D1" s="231"/>
    </row>
    <row r="2" spans="1:7" ht="22.8" x14ac:dyDescent="0.4">
      <c r="A2" s="231" t="s">
        <v>101</v>
      </c>
      <c r="B2" s="231"/>
      <c r="C2" s="231"/>
      <c r="D2" s="231"/>
    </row>
    <row r="3" spans="1:7" x14ac:dyDescent="0.3">
      <c r="A3" s="235"/>
      <c r="B3" s="235"/>
      <c r="C3" s="235"/>
      <c r="D3" s="235"/>
    </row>
    <row r="4" spans="1:7" x14ac:dyDescent="0.3">
      <c r="A4" s="32" t="s">
        <v>109</v>
      </c>
      <c r="B4" s="230" t="s">
        <v>163</v>
      </c>
      <c r="C4" s="230"/>
    </row>
    <row r="5" spans="1:7" x14ac:dyDescent="0.3">
      <c r="A5" s="32" t="s">
        <v>110</v>
      </c>
      <c r="B5" s="230" t="s">
        <v>216</v>
      </c>
      <c r="C5" s="230"/>
      <c r="E5" s="53"/>
    </row>
    <row r="6" spans="1:7" x14ac:dyDescent="0.3">
      <c r="A6" s="32"/>
      <c r="B6" s="230"/>
      <c r="C6" s="230"/>
    </row>
    <row r="7" spans="1:7" x14ac:dyDescent="0.3">
      <c r="A7" s="234" t="s">
        <v>35</v>
      </c>
      <c r="B7" s="234"/>
      <c r="C7" s="234"/>
    </row>
    <row r="8" spans="1:7" ht="16.2" thickBot="1" x14ac:dyDescent="0.35"/>
    <row r="9" spans="1:7" ht="16.2" thickBot="1" x14ac:dyDescent="0.35">
      <c r="A9" s="13">
        <v>1</v>
      </c>
      <c r="B9" s="135" t="s">
        <v>36</v>
      </c>
      <c r="C9" s="135" t="s">
        <v>37</v>
      </c>
      <c r="D9" s="146"/>
      <c r="E9" s="146"/>
      <c r="F9" s="146"/>
      <c r="G9" s="146"/>
    </row>
    <row r="10" spans="1:7" ht="16.2" thickBot="1" x14ac:dyDescent="0.35">
      <c r="A10" s="15" t="s">
        <v>38</v>
      </c>
      <c r="B10" s="16" t="s">
        <v>39</v>
      </c>
      <c r="C10" s="23">
        <v>1845.56</v>
      </c>
      <c r="D10" s="70">
        <f>C10+C11+C12</f>
        <v>2620.6952000000001</v>
      </c>
      <c r="E10" s="70">
        <f>D10/220</f>
        <v>11.912250909090909</v>
      </c>
      <c r="F10" s="146"/>
      <c r="G10" s="146"/>
    </row>
    <row r="11" spans="1:7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2.3824501818181818</v>
      </c>
      <c r="F11" s="146"/>
      <c r="G11" s="146"/>
    </row>
    <row r="12" spans="1:7" ht="16.2" thickBot="1" x14ac:dyDescent="0.35">
      <c r="A12" s="15" t="s">
        <v>41</v>
      </c>
      <c r="B12" s="16" t="s">
        <v>180</v>
      </c>
      <c r="C12" s="23">
        <f>C10*12%</f>
        <v>221.46719999999999</v>
      </c>
      <c r="D12" s="72"/>
      <c r="E12" s="70">
        <f>E11+E10</f>
        <v>14.294701090909092</v>
      </c>
      <c r="F12" s="146"/>
      <c r="G12" s="146"/>
    </row>
    <row r="13" spans="1:7" ht="16.2" thickBot="1" x14ac:dyDescent="0.35">
      <c r="A13" s="15" t="s">
        <v>41</v>
      </c>
      <c r="B13" s="16" t="s">
        <v>4</v>
      </c>
      <c r="C13" s="23">
        <f>D11*E11</f>
        <v>51.699168945454545</v>
      </c>
      <c r="D13" s="73">
        <f>1.5*4.34</f>
        <v>6.51</v>
      </c>
      <c r="E13" s="147">
        <f>E10*1.6</f>
        <v>19.059601454545454</v>
      </c>
      <c r="F13" s="146"/>
      <c r="G13" s="146"/>
    </row>
    <row r="14" spans="1:7" ht="16.2" thickBot="1" x14ac:dyDescent="0.35">
      <c r="A14" s="15" t="s">
        <v>42</v>
      </c>
      <c r="B14" s="16" t="s">
        <v>154</v>
      </c>
      <c r="C14" s="23">
        <f>E13*0.3472</f>
        <v>6.6174936250181817</v>
      </c>
      <c r="D14" s="145"/>
      <c r="E14" s="144"/>
      <c r="F14" s="146"/>
      <c r="G14" s="146"/>
    </row>
    <row r="15" spans="1:7" ht="16.2" thickBot="1" x14ac:dyDescent="0.35">
      <c r="A15" s="232" t="s">
        <v>5</v>
      </c>
      <c r="B15" s="233"/>
      <c r="C15" s="39">
        <f>SUM(C10:C14)</f>
        <v>2679.0118625704727</v>
      </c>
      <c r="D15" s="146"/>
      <c r="E15" s="146"/>
      <c r="F15" s="146"/>
      <c r="G15" s="146"/>
    </row>
    <row r="16" spans="1:7" x14ac:dyDescent="0.3">
      <c r="D16" s="146"/>
      <c r="E16" s="146"/>
      <c r="F16" s="146"/>
      <c r="G16" s="146"/>
    </row>
    <row r="17" spans="1:6" x14ac:dyDescent="0.3">
      <c r="D17" s="79"/>
      <c r="E17" s="79"/>
      <c r="F17" s="79"/>
    </row>
    <row r="18" spans="1:6" x14ac:dyDescent="0.3">
      <c r="A18" s="223" t="s">
        <v>48</v>
      </c>
      <c r="B18" s="223"/>
      <c r="C18" s="223"/>
    </row>
    <row r="19" spans="1:6" x14ac:dyDescent="0.3">
      <c r="A19" s="12"/>
    </row>
    <row r="20" spans="1:6" x14ac:dyDescent="0.3">
      <c r="A20" s="226" t="s">
        <v>49</v>
      </c>
      <c r="B20" s="226"/>
      <c r="C20" s="226"/>
    </row>
    <row r="21" spans="1:6" ht="16.2" thickBot="1" x14ac:dyDescent="0.35"/>
    <row r="22" spans="1:6" ht="16.2" thickBot="1" x14ac:dyDescent="0.35">
      <c r="A22" s="13" t="s">
        <v>50</v>
      </c>
      <c r="B22" s="135" t="s">
        <v>51</v>
      </c>
      <c r="C22" s="135" t="s">
        <v>57</v>
      </c>
      <c r="D22" s="135" t="s">
        <v>37</v>
      </c>
    </row>
    <row r="23" spans="1:6" ht="16.2" thickBot="1" x14ac:dyDescent="0.35">
      <c r="A23" s="15" t="s">
        <v>38</v>
      </c>
      <c r="B23" s="35" t="s">
        <v>52</v>
      </c>
      <c r="C23" s="31">
        <v>8.3299999999999999E-2</v>
      </c>
      <c r="D23" s="36">
        <f>C$15*C23</f>
        <v>223.16168815212038</v>
      </c>
    </row>
    <row r="24" spans="1:6" ht="16.2" thickBot="1" x14ac:dyDescent="0.35">
      <c r="A24" s="15" t="s">
        <v>40</v>
      </c>
      <c r="B24" s="33" t="s">
        <v>53</v>
      </c>
      <c r="C24" s="37">
        <v>0.121</v>
      </c>
      <c r="D24" s="38">
        <f>C$15*C24</f>
        <v>324.16043537102718</v>
      </c>
    </row>
    <row r="25" spans="1:6" ht="16.2" thickBot="1" x14ac:dyDescent="0.35">
      <c r="A25" s="224" t="s">
        <v>5</v>
      </c>
      <c r="B25" s="225"/>
      <c r="C25" s="40">
        <f>SUM(C23:C24)</f>
        <v>0.20429999999999998</v>
      </c>
      <c r="D25" s="41">
        <f>C$15*C25</f>
        <v>547.32212352314752</v>
      </c>
    </row>
    <row r="28" spans="1:6" x14ac:dyDescent="0.3">
      <c r="A28" s="229" t="s">
        <v>54</v>
      </c>
      <c r="B28" s="229"/>
      <c r="C28" s="229"/>
      <c r="D28" s="229"/>
    </row>
    <row r="29" spans="1:6" ht="16.2" thickBot="1" x14ac:dyDescent="0.35"/>
    <row r="30" spans="1:6" ht="16.2" thickBot="1" x14ac:dyDescent="0.35">
      <c r="A30" s="13" t="s">
        <v>55</v>
      </c>
      <c r="B30" s="135" t="s">
        <v>56</v>
      </c>
      <c r="C30" s="135" t="s">
        <v>57</v>
      </c>
      <c r="D30" s="135" t="s">
        <v>37</v>
      </c>
    </row>
    <row r="31" spans="1:6" ht="16.2" thickBot="1" x14ac:dyDescent="0.35">
      <c r="A31" s="15" t="s">
        <v>38</v>
      </c>
      <c r="B31" s="16" t="s">
        <v>58</v>
      </c>
      <c r="C31" s="17">
        <v>0.2</v>
      </c>
      <c r="D31" s="38">
        <f t="shared" ref="D31:D39" si="0">(D$25+C$15)*C31</f>
        <v>645.26679721872415</v>
      </c>
    </row>
    <row r="32" spans="1:6" ht="16.2" thickBot="1" x14ac:dyDescent="0.35">
      <c r="A32" s="15" t="s">
        <v>40</v>
      </c>
      <c r="B32" s="16" t="s">
        <v>59</v>
      </c>
      <c r="C32" s="17">
        <v>2.5000000000000001E-2</v>
      </c>
      <c r="D32" s="38">
        <f t="shared" si="0"/>
        <v>80.658349652340519</v>
      </c>
    </row>
    <row r="33" spans="1:5" ht="16.2" thickBot="1" x14ac:dyDescent="0.35">
      <c r="A33" s="15" t="s">
        <v>41</v>
      </c>
      <c r="B33" s="16" t="s">
        <v>60</v>
      </c>
      <c r="C33" s="115">
        <f>'Posto 12x36 diurno ISS 2%'!C30</f>
        <v>0.03</v>
      </c>
      <c r="D33" s="38">
        <f t="shared" si="0"/>
        <v>96.790019582808611</v>
      </c>
    </row>
    <row r="34" spans="1:5" ht="16.2" thickBot="1" x14ac:dyDescent="0.35">
      <c r="A34" s="15" t="s">
        <v>42</v>
      </c>
      <c r="B34" s="16" t="s">
        <v>61</v>
      </c>
      <c r="C34" s="17">
        <v>1.4999999999999999E-2</v>
      </c>
      <c r="D34" s="38">
        <f t="shared" si="0"/>
        <v>48.395009791404306</v>
      </c>
    </row>
    <row r="35" spans="1:5" ht="16.2" thickBot="1" x14ac:dyDescent="0.35">
      <c r="A35" s="15" t="s">
        <v>43</v>
      </c>
      <c r="B35" s="16" t="s">
        <v>62</v>
      </c>
      <c r="C35" s="17">
        <v>0.01</v>
      </c>
      <c r="D35" s="38">
        <f t="shared" si="0"/>
        <v>32.263339860936206</v>
      </c>
    </row>
    <row r="36" spans="1:5" ht="16.2" thickBot="1" x14ac:dyDescent="0.35">
      <c r="A36" s="15" t="s">
        <v>45</v>
      </c>
      <c r="B36" s="16" t="s">
        <v>6</v>
      </c>
      <c r="C36" s="17">
        <v>6.0000000000000001E-3</v>
      </c>
      <c r="D36" s="38">
        <f t="shared" si="0"/>
        <v>19.358003916561721</v>
      </c>
    </row>
    <row r="37" spans="1:5" ht="16.2" thickBot="1" x14ac:dyDescent="0.35">
      <c r="A37" s="15" t="s">
        <v>46</v>
      </c>
      <c r="B37" s="16" t="s">
        <v>7</v>
      </c>
      <c r="C37" s="17">
        <v>2E-3</v>
      </c>
      <c r="D37" s="38">
        <f t="shared" si="0"/>
        <v>6.4526679721872409</v>
      </c>
    </row>
    <row r="38" spans="1:5" ht="16.2" thickBot="1" x14ac:dyDescent="0.35">
      <c r="A38" s="15" t="s">
        <v>63</v>
      </c>
      <c r="B38" s="16" t="s">
        <v>8</v>
      </c>
      <c r="C38" s="17">
        <v>0.08</v>
      </c>
      <c r="D38" s="38">
        <f t="shared" si="0"/>
        <v>258.10671888748965</v>
      </c>
    </row>
    <row r="39" spans="1:5" ht="16.2" thickBot="1" x14ac:dyDescent="0.35">
      <c r="A39" s="224" t="s">
        <v>64</v>
      </c>
      <c r="B39" s="225"/>
      <c r="C39" s="17">
        <f>SUM(C31:C38)</f>
        <v>0.36800000000000005</v>
      </c>
      <c r="D39" s="38">
        <f t="shared" si="0"/>
        <v>1187.2909068824524</v>
      </c>
      <c r="E39" s="68">
        <f>C39*C25</f>
        <v>7.5182399999999996E-2</v>
      </c>
    </row>
    <row r="42" spans="1:5" x14ac:dyDescent="0.3">
      <c r="A42" s="226" t="s">
        <v>65</v>
      </c>
      <c r="B42" s="226"/>
      <c r="C42" s="226"/>
    </row>
    <row r="43" spans="1:5" ht="16.2" thickBot="1" x14ac:dyDescent="0.35"/>
    <row r="44" spans="1:5" ht="16.2" thickBot="1" x14ac:dyDescent="0.35">
      <c r="A44" s="13" t="s">
        <v>66</v>
      </c>
      <c r="B44" s="135" t="s">
        <v>67</v>
      </c>
      <c r="C44" s="135" t="s">
        <v>37</v>
      </c>
    </row>
    <row r="45" spans="1:5" ht="16.2" thickBot="1" x14ac:dyDescent="0.35">
      <c r="A45" s="15" t="s">
        <v>38</v>
      </c>
      <c r="B45" s="16" t="s">
        <v>68</v>
      </c>
      <c r="C45" s="25">
        <f>'Planilha de Apoio - TBS Seg Sex'!D14</f>
        <v>153.2664</v>
      </c>
    </row>
    <row r="46" spans="1:5" ht="16.2" thickBot="1" x14ac:dyDescent="0.35">
      <c r="A46" s="15" t="s">
        <v>40</v>
      </c>
      <c r="B46" s="16" t="s">
        <v>111</v>
      </c>
      <c r="C46" s="23">
        <f>'Planilha de Apoio - TBS Seg Sex'!D21</f>
        <v>579.26440000000002</v>
      </c>
    </row>
    <row r="47" spans="1:5" ht="16.2" thickBot="1" x14ac:dyDescent="0.35">
      <c r="A47" s="15" t="s">
        <v>41</v>
      </c>
      <c r="B47" s="16" t="s">
        <v>127</v>
      </c>
      <c r="C47" s="117">
        <v>15</v>
      </c>
    </row>
    <row r="48" spans="1:5" ht="16.2" thickBot="1" x14ac:dyDescent="0.35">
      <c r="A48" s="46" t="s">
        <v>42</v>
      </c>
      <c r="B48" s="34" t="s">
        <v>144</v>
      </c>
      <c r="C48" s="23">
        <f>'Planilha de Apoio - TBS Seg Sex'!D25</f>
        <v>161.0915</v>
      </c>
    </row>
    <row r="49" spans="1:4" ht="16.2" thickBot="1" x14ac:dyDescent="0.35">
      <c r="A49" s="46" t="s">
        <v>43</v>
      </c>
      <c r="B49" s="118" t="s">
        <v>145</v>
      </c>
      <c r="C49" s="117"/>
    </row>
    <row r="50" spans="1:4" ht="16.2" thickBot="1" x14ac:dyDescent="0.35">
      <c r="A50" s="232" t="s">
        <v>5</v>
      </c>
      <c r="B50" s="233"/>
      <c r="C50" s="23">
        <f>SUM(C45:C49)</f>
        <v>908.6223</v>
      </c>
    </row>
    <row r="53" spans="1:4" x14ac:dyDescent="0.3">
      <c r="A53" s="226" t="s">
        <v>69</v>
      </c>
      <c r="B53" s="226"/>
      <c r="C53" s="226"/>
    </row>
    <row r="54" spans="1:4" ht="16.2" thickBot="1" x14ac:dyDescent="0.35"/>
    <row r="55" spans="1:4" ht="16.2" thickBot="1" x14ac:dyDescent="0.35">
      <c r="A55" s="13">
        <v>2</v>
      </c>
      <c r="B55" s="135" t="s">
        <v>70</v>
      </c>
      <c r="C55" s="135" t="s">
        <v>37</v>
      </c>
    </row>
    <row r="56" spans="1:4" ht="16.2" thickBot="1" x14ac:dyDescent="0.35">
      <c r="A56" s="15" t="s">
        <v>50</v>
      </c>
      <c r="B56" s="16" t="s">
        <v>51</v>
      </c>
      <c r="C56" s="23">
        <f>D25</f>
        <v>547.32212352314752</v>
      </c>
    </row>
    <row r="57" spans="1:4" ht="16.2" thickBot="1" x14ac:dyDescent="0.35">
      <c r="A57" s="15" t="s">
        <v>55</v>
      </c>
      <c r="B57" s="16" t="s">
        <v>56</v>
      </c>
      <c r="C57" s="23">
        <f>D39</f>
        <v>1187.2909068824524</v>
      </c>
    </row>
    <row r="58" spans="1:4" ht="16.2" thickBot="1" x14ac:dyDescent="0.35">
      <c r="A58" s="15" t="s">
        <v>66</v>
      </c>
      <c r="B58" s="16" t="s">
        <v>67</v>
      </c>
      <c r="C58" s="23">
        <f>C50</f>
        <v>908.6223</v>
      </c>
    </row>
    <row r="59" spans="1:4" ht="16.2" thickBot="1" x14ac:dyDescent="0.35">
      <c r="A59" s="224" t="s">
        <v>5</v>
      </c>
      <c r="B59" s="225"/>
      <c r="C59" s="23">
        <f>SUM(C56:C58)</f>
        <v>2643.2353304056001</v>
      </c>
    </row>
    <row r="60" spans="1:4" x14ac:dyDescent="0.3">
      <c r="A60" s="2"/>
    </row>
    <row r="62" spans="1:4" x14ac:dyDescent="0.3">
      <c r="A62" s="223" t="s">
        <v>71</v>
      </c>
      <c r="B62" s="223"/>
      <c r="C62" s="223"/>
    </row>
    <row r="63" spans="1:4" ht="16.2" thickBot="1" x14ac:dyDescent="0.35"/>
    <row r="64" spans="1:4" ht="16.2" thickBot="1" x14ac:dyDescent="0.35">
      <c r="A64" s="13">
        <v>3</v>
      </c>
      <c r="B64" s="135" t="s">
        <v>72</v>
      </c>
      <c r="C64" s="135" t="s">
        <v>57</v>
      </c>
      <c r="D64" s="135" t="s">
        <v>37</v>
      </c>
    </row>
    <row r="65" spans="1:4" ht="16.2" thickBot="1" x14ac:dyDescent="0.35">
      <c r="A65" s="15" t="s">
        <v>38</v>
      </c>
      <c r="B65" s="18" t="s">
        <v>73</v>
      </c>
      <c r="C65" s="28">
        <v>4.1999999999999997E-3</v>
      </c>
      <c r="D65" s="23">
        <f>(C$15)*C65</f>
        <v>11.251849822795984</v>
      </c>
    </row>
    <row r="66" spans="1:4" ht="16.2" thickBot="1" x14ac:dyDescent="0.35">
      <c r="A66" s="15" t="s">
        <v>40</v>
      </c>
      <c r="B66" s="26" t="s">
        <v>74</v>
      </c>
      <c r="C66" s="29">
        <f>C65*C38</f>
        <v>3.3599999999999998E-4</v>
      </c>
      <c r="D66" s="23">
        <f>(C$15)*C66</f>
        <v>0.90014798582367872</v>
      </c>
    </row>
    <row r="67" spans="1:4" ht="16.2" thickBot="1" x14ac:dyDescent="0.35">
      <c r="A67" s="15" t="s">
        <v>41</v>
      </c>
      <c r="B67" s="18" t="s">
        <v>131</v>
      </c>
      <c r="C67" s="27">
        <v>3.5999999999999999E-3</v>
      </c>
      <c r="D67" s="23">
        <f>C67*C15</f>
        <v>9.6444427052537005</v>
      </c>
    </row>
    <row r="68" spans="1:4" ht="16.2" thickBot="1" x14ac:dyDescent="0.35">
      <c r="A68" s="15" t="s">
        <v>42</v>
      </c>
      <c r="B68" s="18" t="s">
        <v>76</v>
      </c>
      <c r="C68" s="30">
        <v>1.9400000000000001E-2</v>
      </c>
      <c r="D68" s="23">
        <f>(C$15)*C68</f>
        <v>51.97283013386717</v>
      </c>
    </row>
    <row r="69" spans="1:4" ht="16.2" thickBot="1" x14ac:dyDescent="0.35">
      <c r="A69" s="15" t="s">
        <v>43</v>
      </c>
      <c r="B69" s="18" t="s">
        <v>77</v>
      </c>
      <c r="C69" s="27">
        <f>C68*C39</f>
        <v>7.1392000000000009E-3</v>
      </c>
      <c r="D69" s="23">
        <f>C69*C15</f>
        <v>19.126001489263121</v>
      </c>
    </row>
    <row r="70" spans="1:4" ht="16.2" thickBot="1" x14ac:dyDescent="0.35">
      <c r="A70" s="15" t="s">
        <v>45</v>
      </c>
      <c r="B70" s="18" t="s">
        <v>132</v>
      </c>
      <c r="C70" s="27">
        <v>3.6400000000000002E-2</v>
      </c>
      <c r="D70" s="23">
        <f>C70*C15</f>
        <v>97.516031797565205</v>
      </c>
    </row>
    <row r="71" spans="1:4" ht="16.2" thickBot="1" x14ac:dyDescent="0.35">
      <c r="A71" s="224" t="s">
        <v>5</v>
      </c>
      <c r="B71" s="225"/>
      <c r="C71" s="27">
        <f>SUM(C65:C70)</f>
        <v>7.1075200000000005E-2</v>
      </c>
      <c r="D71" s="23">
        <f>SUM(D65:D70)</f>
        <v>190.41130393456888</v>
      </c>
    </row>
    <row r="74" spans="1:4" x14ac:dyDescent="0.3">
      <c r="A74" s="223" t="s">
        <v>79</v>
      </c>
      <c r="B74" s="223"/>
      <c r="C74" s="223"/>
    </row>
    <row r="77" spans="1:4" x14ac:dyDescent="0.3">
      <c r="A77" s="226" t="s">
        <v>80</v>
      </c>
      <c r="B77" s="226"/>
      <c r="C77" s="226"/>
    </row>
    <row r="78" spans="1:4" ht="16.2" thickBot="1" x14ac:dyDescent="0.35">
      <c r="A78" s="12"/>
    </row>
    <row r="79" spans="1:4" ht="16.2" thickBot="1" x14ac:dyDescent="0.35">
      <c r="A79" s="13" t="s">
        <v>81</v>
      </c>
      <c r="B79" s="135" t="s">
        <v>82</v>
      </c>
      <c r="C79" s="135" t="s">
        <v>57</v>
      </c>
      <c r="D79" s="135" t="s">
        <v>37</v>
      </c>
    </row>
    <row r="80" spans="1:4" ht="16.2" thickBot="1" x14ac:dyDescent="0.35">
      <c r="A80" s="15" t="s">
        <v>38</v>
      </c>
      <c r="B80" s="16" t="s">
        <v>130</v>
      </c>
      <c r="C80" s="27">
        <f>1/12/12</f>
        <v>6.9444444444444441E-3</v>
      </c>
      <c r="D80" s="23">
        <f t="shared" ref="D80:D86" si="1">(C$15)*C80</f>
        <v>18.604249045628283</v>
      </c>
    </row>
    <row r="81" spans="1:7" ht="16.2" thickBot="1" x14ac:dyDescent="0.35">
      <c r="A81" s="15" t="s">
        <v>40</v>
      </c>
      <c r="B81" s="16" t="s">
        <v>82</v>
      </c>
      <c r="C81" s="119">
        <v>0.02</v>
      </c>
      <c r="D81" s="23">
        <f t="shared" si="1"/>
        <v>53.580237251409457</v>
      </c>
    </row>
    <row r="82" spans="1:7" ht="16.2" thickBot="1" x14ac:dyDescent="0.35">
      <c r="A82" s="15" t="s">
        <v>41</v>
      </c>
      <c r="B82" s="16" t="s">
        <v>83</v>
      </c>
      <c r="C82" s="119">
        <v>1.4999999999999999E-2</v>
      </c>
      <c r="D82" s="23">
        <f t="shared" si="1"/>
        <v>40.185177938557089</v>
      </c>
    </row>
    <row r="83" spans="1:7" ht="16.2" thickBot="1" x14ac:dyDescent="0.35">
      <c r="A83" s="15" t="s">
        <v>42</v>
      </c>
      <c r="B83" s="16" t="s">
        <v>84</v>
      </c>
      <c r="C83" s="119">
        <v>0.01</v>
      </c>
      <c r="D83" s="23">
        <f t="shared" si="1"/>
        <v>26.790118625704729</v>
      </c>
    </row>
    <row r="84" spans="1:7" ht="16.2" thickBot="1" x14ac:dyDescent="0.35">
      <c r="A84" s="15" t="s">
        <v>43</v>
      </c>
      <c r="B84" s="16" t="s">
        <v>85</v>
      </c>
      <c r="C84" s="119">
        <v>0.01</v>
      </c>
      <c r="D84" s="23">
        <f t="shared" si="1"/>
        <v>26.790118625704729</v>
      </c>
    </row>
    <row r="85" spans="1:7" ht="16.2" thickBot="1" x14ac:dyDescent="0.35">
      <c r="A85" s="15" t="s">
        <v>45</v>
      </c>
      <c r="B85" s="120" t="s">
        <v>47</v>
      </c>
      <c r="C85" s="119">
        <v>0</v>
      </c>
      <c r="D85" s="23">
        <f t="shared" si="1"/>
        <v>0</v>
      </c>
    </row>
    <row r="86" spans="1:7" ht="16.2" thickBot="1" x14ac:dyDescent="0.35">
      <c r="A86" s="224" t="s">
        <v>64</v>
      </c>
      <c r="B86" s="225"/>
      <c r="C86" s="27">
        <f>SUM(C80:C85)</f>
        <v>6.1944444444444448E-2</v>
      </c>
      <c r="D86" s="23">
        <f t="shared" si="1"/>
        <v>165.9499014870043</v>
      </c>
    </row>
    <row r="87" spans="1:7" x14ac:dyDescent="0.3">
      <c r="C87" s="53">
        <f>C25+C39+C71+C86+E39</f>
        <v>0.78050204444444449</v>
      </c>
    </row>
    <row r="89" spans="1:7" x14ac:dyDescent="0.3">
      <c r="A89" s="226" t="s">
        <v>86</v>
      </c>
      <c r="B89" s="226"/>
      <c r="C89" s="226"/>
      <c r="F89" s="73"/>
      <c r="G89" s="73"/>
    </row>
    <row r="90" spans="1:7" ht="16.2" thickBot="1" x14ac:dyDescent="0.35">
      <c r="A90" s="12"/>
      <c r="E90" s="79"/>
      <c r="F90" s="79"/>
      <c r="G90" s="73"/>
    </row>
    <row r="91" spans="1:7" ht="16.2" thickBot="1" x14ac:dyDescent="0.35">
      <c r="A91" s="13" t="s">
        <v>87</v>
      </c>
      <c r="B91" s="135" t="s">
        <v>129</v>
      </c>
      <c r="C91" s="135" t="s">
        <v>37</v>
      </c>
      <c r="D91" s="79"/>
      <c r="E91" s="79"/>
      <c r="F91" s="70">
        <f>C10+C11+C12</f>
        <v>2620.6952000000001</v>
      </c>
      <c r="G91" s="73"/>
    </row>
    <row r="92" spans="1:7" ht="16.2" thickBot="1" x14ac:dyDescent="0.35">
      <c r="A92" s="15" t="s">
        <v>38</v>
      </c>
      <c r="B92" s="16" t="s">
        <v>102</v>
      </c>
      <c r="C92" s="52">
        <f>F94*0.5</f>
        <v>209.65561600000001</v>
      </c>
      <c r="D92" s="79"/>
      <c r="E92" s="79"/>
      <c r="F92" s="70">
        <f>F91/220</f>
        <v>11.912250909090909</v>
      </c>
      <c r="G92" s="73"/>
    </row>
    <row r="93" spans="1:7" ht="16.2" thickBot="1" x14ac:dyDescent="0.35">
      <c r="A93" s="224" t="s">
        <v>5</v>
      </c>
      <c r="B93" s="225"/>
      <c r="C93" s="52">
        <f>C92</f>
        <v>209.65561600000001</v>
      </c>
      <c r="D93" s="79"/>
      <c r="E93" s="79"/>
      <c r="F93" s="70">
        <f>F92*1.6</f>
        <v>19.059601454545454</v>
      </c>
      <c r="G93" s="73"/>
    </row>
    <row r="94" spans="1:7" x14ac:dyDescent="0.3">
      <c r="D94" s="79"/>
      <c r="E94" s="79"/>
      <c r="F94" s="70">
        <f>F93*22</f>
        <v>419.31123200000002</v>
      </c>
      <c r="G94" s="73"/>
    </row>
    <row r="95" spans="1:7" x14ac:dyDescent="0.3">
      <c r="D95" s="79"/>
      <c r="E95" s="79"/>
      <c r="F95" s="73"/>
      <c r="G95" s="73"/>
    </row>
    <row r="96" spans="1:7" x14ac:dyDescent="0.3">
      <c r="A96" s="226" t="s">
        <v>89</v>
      </c>
      <c r="B96" s="226"/>
      <c r="C96" s="226"/>
      <c r="D96" s="79"/>
      <c r="E96" s="79"/>
      <c r="F96" s="79"/>
      <c r="G96" s="79"/>
    </row>
    <row r="97" spans="1:7" ht="16.2" thickBot="1" x14ac:dyDescent="0.35">
      <c r="A97" s="12"/>
      <c r="D97" s="79"/>
      <c r="E97" s="79"/>
      <c r="F97" s="79"/>
      <c r="G97" s="79"/>
    </row>
    <row r="98" spans="1:7" ht="16.2" thickBot="1" x14ac:dyDescent="0.35">
      <c r="A98" s="13">
        <v>4</v>
      </c>
      <c r="B98" s="135" t="s">
        <v>90</v>
      </c>
      <c r="C98" s="135" t="s">
        <v>37</v>
      </c>
      <c r="D98" s="79"/>
      <c r="E98" s="79"/>
      <c r="F98" s="79"/>
      <c r="G98" s="79"/>
    </row>
    <row r="99" spans="1:7" ht="16.2" thickBot="1" x14ac:dyDescent="0.35">
      <c r="A99" s="15" t="s">
        <v>81</v>
      </c>
      <c r="B99" s="16" t="s">
        <v>82</v>
      </c>
      <c r="C99" s="23">
        <f>D86</f>
        <v>165.9499014870043</v>
      </c>
    </row>
    <row r="100" spans="1:7" ht="16.2" thickBot="1" x14ac:dyDescent="0.35">
      <c r="A100" s="15" t="s">
        <v>87</v>
      </c>
      <c r="B100" s="16" t="s">
        <v>88</v>
      </c>
      <c r="C100" s="23">
        <f>C93</f>
        <v>209.65561600000001</v>
      </c>
    </row>
    <row r="101" spans="1:7" ht="16.2" thickBot="1" x14ac:dyDescent="0.35">
      <c r="A101" s="224" t="s">
        <v>5</v>
      </c>
      <c r="B101" s="225"/>
      <c r="C101" s="39">
        <f>C99+C100</f>
        <v>375.60551748700431</v>
      </c>
    </row>
    <row r="104" spans="1:7" x14ac:dyDescent="0.3">
      <c r="A104" s="223" t="s">
        <v>91</v>
      </c>
      <c r="B104" s="223"/>
      <c r="C104" s="223"/>
    </row>
    <row r="105" spans="1:7" ht="16.2" thickBot="1" x14ac:dyDescent="0.35"/>
    <row r="106" spans="1:7" ht="16.2" thickBot="1" x14ac:dyDescent="0.35">
      <c r="A106" s="13">
        <v>5</v>
      </c>
      <c r="B106" s="19" t="s">
        <v>22</v>
      </c>
      <c r="C106" s="135" t="s">
        <v>37</v>
      </c>
    </row>
    <row r="107" spans="1:7" ht="16.2" thickBot="1" x14ac:dyDescent="0.35">
      <c r="A107" s="15" t="s">
        <v>38</v>
      </c>
      <c r="B107" s="16" t="s">
        <v>92</v>
      </c>
      <c r="C107" s="117">
        <f>'Planilha de Apoio - TBS Seg Sex'!C46</f>
        <v>103.33333333333333</v>
      </c>
    </row>
    <row r="108" spans="1:7" ht="16.2" thickBot="1" x14ac:dyDescent="0.35">
      <c r="A108" s="15" t="s">
        <v>40</v>
      </c>
      <c r="B108" s="16" t="s">
        <v>93</v>
      </c>
      <c r="C108" s="117">
        <f>'Planilha de Apoio - TBS Seg Sex'!D34</f>
        <v>72.938749999999999</v>
      </c>
    </row>
    <row r="109" spans="1:7" ht="16.2" thickBot="1" x14ac:dyDescent="0.35">
      <c r="A109" s="15" t="s">
        <v>41</v>
      </c>
      <c r="B109" s="120" t="s">
        <v>181</v>
      </c>
      <c r="C109" s="117">
        <f>'Planilha de Apoio - PRI Moto'!G75</f>
        <v>484.25441368888892</v>
      </c>
    </row>
    <row r="110" spans="1:7" ht="16.2" thickBot="1" x14ac:dyDescent="0.35">
      <c r="A110" s="15" t="s">
        <v>42</v>
      </c>
      <c r="B110" s="120" t="s">
        <v>146</v>
      </c>
      <c r="C110" s="117"/>
    </row>
    <row r="111" spans="1:7" ht="16.2" thickBot="1" x14ac:dyDescent="0.35">
      <c r="A111" s="224" t="s">
        <v>64</v>
      </c>
      <c r="B111" s="225"/>
      <c r="C111" s="23">
        <f>SUM(C107:C110)</f>
        <v>660.5264970222222</v>
      </c>
    </row>
    <row r="114" spans="1:4" x14ac:dyDescent="0.3">
      <c r="A114" s="223" t="s">
        <v>94</v>
      </c>
      <c r="B114" s="223"/>
      <c r="C114" s="223"/>
    </row>
    <row r="115" spans="1:4" ht="16.2" thickBot="1" x14ac:dyDescent="0.35"/>
    <row r="116" spans="1:4" ht="16.2" thickBot="1" x14ac:dyDescent="0.35">
      <c r="A116" s="13">
        <v>6</v>
      </c>
      <c r="B116" s="19" t="s">
        <v>23</v>
      </c>
      <c r="C116" s="135" t="s">
        <v>57</v>
      </c>
      <c r="D116" s="135" t="s">
        <v>37</v>
      </c>
    </row>
    <row r="117" spans="1:4" ht="16.2" thickBot="1" x14ac:dyDescent="0.35">
      <c r="A117" s="15" t="s">
        <v>38</v>
      </c>
      <c r="B117" s="43" t="s">
        <v>24</v>
      </c>
      <c r="C117" s="116">
        <f>'Posto 12x36 diurno ISS 2%'!C114</f>
        <v>0.1</v>
      </c>
      <c r="D117" s="45">
        <f>C117*C136</f>
        <v>654.87905114198679</v>
      </c>
    </row>
    <row r="118" spans="1:4" ht="16.2" thickBot="1" x14ac:dyDescent="0.35">
      <c r="A118" s="15" t="s">
        <v>40</v>
      </c>
      <c r="B118" s="43" t="s">
        <v>26</v>
      </c>
      <c r="C118" s="116">
        <f>C117</f>
        <v>0.1</v>
      </c>
      <c r="D118" s="45">
        <f>C118*(C136+D117)</f>
        <v>720.3669562561854</v>
      </c>
    </row>
    <row r="119" spans="1:4" ht="16.2" thickBot="1" x14ac:dyDescent="0.35">
      <c r="A119" s="15" t="s">
        <v>41</v>
      </c>
      <c r="B119" s="16" t="s">
        <v>25</v>
      </c>
      <c r="C119" s="17"/>
      <c r="D119" s="23">
        <f>(C$15+C$59+D$71+C$101+C$111)*C119</f>
        <v>0</v>
      </c>
    </row>
    <row r="120" spans="1:4" ht="16.2" thickBot="1" x14ac:dyDescent="0.35">
      <c r="A120" s="15"/>
      <c r="B120" s="43" t="s">
        <v>106</v>
      </c>
      <c r="C120" s="44">
        <f>C121+C122</f>
        <v>3.6499999999999998E-2</v>
      </c>
      <c r="D120" s="45">
        <f>C120*(C$136+D$117+D$118)</f>
        <v>289.22733293685843</v>
      </c>
    </row>
    <row r="121" spans="1:4" ht="16.2" thickBot="1" x14ac:dyDescent="0.35">
      <c r="A121" s="15"/>
      <c r="B121" s="16" t="s">
        <v>104</v>
      </c>
      <c r="C121" s="17">
        <v>0.03</v>
      </c>
      <c r="D121" s="23">
        <f>C121*(C$136+D$117+D$118)</f>
        <v>237.72109556454117</v>
      </c>
    </row>
    <row r="122" spans="1:4" ht="16.2" thickBot="1" x14ac:dyDescent="0.35">
      <c r="A122" s="15"/>
      <c r="B122" s="16" t="s">
        <v>105</v>
      </c>
      <c r="C122" s="17">
        <v>6.4999999999999997E-3</v>
      </c>
      <c r="D122" s="23">
        <f>C122*(C$136+D$117+D$118)</f>
        <v>51.506237372317251</v>
      </c>
    </row>
    <row r="123" spans="1:4" ht="16.2" thickBot="1" x14ac:dyDescent="0.35">
      <c r="A123" s="15"/>
      <c r="B123" s="43" t="s">
        <v>107</v>
      </c>
      <c r="C123" s="44">
        <v>0</v>
      </c>
      <c r="D123" s="45">
        <f>C123*(C$136+D$117+D$118)</f>
        <v>0</v>
      </c>
    </row>
    <row r="124" spans="1:4" ht="16.2" thickBot="1" x14ac:dyDescent="0.35">
      <c r="A124" s="15"/>
      <c r="B124" s="43" t="s">
        <v>108</v>
      </c>
      <c r="C124" s="44">
        <v>0.02</v>
      </c>
      <c r="D124" s="45">
        <f>C124*(C$136+D$117+D$118)</f>
        <v>158.48073037636078</v>
      </c>
    </row>
    <row r="125" spans="1:4" ht="16.2" thickBot="1" x14ac:dyDescent="0.35">
      <c r="A125" s="227" t="s">
        <v>64</v>
      </c>
      <c r="B125" s="228"/>
      <c r="C125" s="44">
        <f>C117+C118+C120+C123+C124</f>
        <v>0.25650000000000001</v>
      </c>
      <c r="D125" s="45">
        <f>D117+D118+D120+D123+D124</f>
        <v>1822.9540707113913</v>
      </c>
    </row>
    <row r="128" spans="1:4" x14ac:dyDescent="0.3">
      <c r="A128" s="223" t="s">
        <v>95</v>
      </c>
      <c r="B128" s="223"/>
      <c r="C128" s="223"/>
    </row>
    <row r="129" spans="1:3" ht="16.2" thickBot="1" x14ac:dyDescent="0.35"/>
    <row r="130" spans="1:3" ht="16.2" thickBot="1" x14ac:dyDescent="0.35">
      <c r="A130" s="13"/>
      <c r="B130" s="135" t="s">
        <v>96</v>
      </c>
      <c r="C130" s="135" t="s">
        <v>37</v>
      </c>
    </row>
    <row r="131" spans="1:3" ht="16.2" thickBot="1" x14ac:dyDescent="0.35">
      <c r="A131" s="21" t="s">
        <v>38</v>
      </c>
      <c r="B131" s="16" t="s">
        <v>35</v>
      </c>
      <c r="C131" s="42">
        <f>C15</f>
        <v>2679.0118625704727</v>
      </c>
    </row>
    <row r="132" spans="1:3" ht="16.2" thickBot="1" x14ac:dyDescent="0.35">
      <c r="A132" s="21" t="s">
        <v>40</v>
      </c>
      <c r="B132" s="16" t="s">
        <v>48</v>
      </c>
      <c r="C132" s="42">
        <f>C59</f>
        <v>2643.2353304056001</v>
      </c>
    </row>
    <row r="133" spans="1:3" ht="16.2" thickBot="1" x14ac:dyDescent="0.35">
      <c r="A133" s="21" t="s">
        <v>41</v>
      </c>
      <c r="B133" s="16" t="s">
        <v>71</v>
      </c>
      <c r="C133" s="42">
        <f>D71</f>
        <v>190.41130393456888</v>
      </c>
    </row>
    <row r="134" spans="1:3" ht="16.2" thickBot="1" x14ac:dyDescent="0.35">
      <c r="A134" s="21" t="s">
        <v>42</v>
      </c>
      <c r="B134" s="16" t="s">
        <v>79</v>
      </c>
      <c r="C134" s="42">
        <f>C101</f>
        <v>375.60551748700431</v>
      </c>
    </row>
    <row r="135" spans="1:3" ht="16.2" thickBot="1" x14ac:dyDescent="0.35">
      <c r="A135" s="21" t="s">
        <v>43</v>
      </c>
      <c r="B135" s="16" t="s">
        <v>91</v>
      </c>
      <c r="C135" s="42">
        <f>C111</f>
        <v>660.5264970222222</v>
      </c>
    </row>
    <row r="136" spans="1:3" ht="16.2" thickBot="1" x14ac:dyDescent="0.35">
      <c r="A136" s="224" t="s">
        <v>97</v>
      </c>
      <c r="B136" s="225"/>
      <c r="C136" s="42">
        <f>SUM(C131:C135)</f>
        <v>6548.7905114198675</v>
      </c>
    </row>
    <row r="137" spans="1:3" ht="16.2" thickBot="1" x14ac:dyDescent="0.35">
      <c r="A137" s="21" t="s">
        <v>45</v>
      </c>
      <c r="B137" s="16" t="s">
        <v>98</v>
      </c>
      <c r="C137" s="42">
        <f>D125</f>
        <v>1822.9540707113913</v>
      </c>
    </row>
    <row r="138" spans="1:3" x14ac:dyDescent="0.3">
      <c r="A138" s="221" t="s">
        <v>99</v>
      </c>
      <c r="B138" s="222"/>
      <c r="C138" s="49">
        <f>C136+C137</f>
        <v>8371.7445821312594</v>
      </c>
    </row>
    <row r="139" spans="1:3" x14ac:dyDescent="0.3">
      <c r="A139" s="218" t="s">
        <v>118</v>
      </c>
      <c r="B139" s="219"/>
      <c r="C139" s="51">
        <v>1</v>
      </c>
    </row>
    <row r="140" spans="1:3" ht="16.2" thickBot="1" x14ac:dyDescent="0.35">
      <c r="A140" s="220" t="s">
        <v>119</v>
      </c>
      <c r="B140" s="220"/>
      <c r="C140" s="50">
        <f>C138*C139</f>
        <v>8371.7445821312594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2:C62"/>
    <mergeCell ref="A7:C7"/>
    <mergeCell ref="A15:B15"/>
    <mergeCell ref="A18:C18"/>
    <mergeCell ref="A20:C20"/>
    <mergeCell ref="A25:B25"/>
    <mergeCell ref="A28:D28"/>
    <mergeCell ref="A39:B39"/>
    <mergeCell ref="A42:C42"/>
    <mergeCell ref="A50:B50"/>
    <mergeCell ref="A53:C53"/>
    <mergeCell ref="A59:B59"/>
    <mergeCell ref="A125:B125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14:C114"/>
    <mergeCell ref="A128:C128"/>
    <mergeCell ref="A136:B136"/>
    <mergeCell ref="A138:B138"/>
    <mergeCell ref="A139:B139"/>
    <mergeCell ref="A140:B140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76"/>
  <sheetViews>
    <sheetView workbookViewId="0">
      <selection activeCell="A9" sqref="A9"/>
    </sheetView>
  </sheetViews>
  <sheetFormatPr defaultColWidth="9.109375" defaultRowHeight="14.4" x14ac:dyDescent="0.3"/>
  <cols>
    <col min="1" max="1" width="29.88671875" style="80" customWidth="1"/>
    <col min="2" max="2" width="20.109375" style="80" customWidth="1"/>
    <col min="3" max="4" width="27.33203125" style="80" bestFit="1" customWidth="1"/>
    <col min="5" max="5" width="13.88671875" style="80" customWidth="1"/>
    <col min="6" max="7" width="9.109375" style="80"/>
    <col min="8" max="8" width="11.5546875" style="80" bestFit="1" customWidth="1"/>
    <col min="9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165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6</v>
      </c>
      <c r="C6" s="1">
        <v>2</v>
      </c>
      <c r="D6" s="48">
        <v>22</v>
      </c>
      <c r="E6" s="85">
        <f t="shared" ref="E6" si="0">B6*C6*D6</f>
        <v>264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169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264</v>
      </c>
      <c r="C14" s="24">
        <f>E10</f>
        <v>110.7336</v>
      </c>
      <c r="D14" s="89">
        <f>B14-C14</f>
        <v>153.2664</v>
      </c>
      <c r="E14" s="90"/>
    </row>
    <row r="15" spans="1:5" ht="15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Sex</v>
      </c>
      <c r="B17" s="251"/>
      <c r="C17" s="251"/>
      <c r="D17" s="252"/>
    </row>
    <row r="18" spans="1:5" ht="31.8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127.15559999999999</v>
      </c>
    </row>
    <row r="21" spans="1:5" ht="16.2" thickBot="1" x14ac:dyDescent="0.35">
      <c r="A21" s="260" t="s">
        <v>155</v>
      </c>
      <c r="B21" s="261"/>
      <c r="C21" s="261"/>
      <c r="D21" s="112">
        <f>D19-D20</f>
        <v>579.26440000000002</v>
      </c>
    </row>
    <row r="22" spans="1:5" ht="15.6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36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  <row r="50" spans="1:17" x14ac:dyDescent="0.3">
      <c r="I50" s="87"/>
      <c r="J50" s="87"/>
      <c r="K50" s="87"/>
      <c r="L50" s="87"/>
      <c r="M50" s="87"/>
      <c r="N50" s="87"/>
      <c r="O50" s="87"/>
      <c r="P50" s="87"/>
      <c r="Q50" s="87"/>
    </row>
    <row r="51" spans="1:17" s="186" customFormat="1" ht="15.6" x14ac:dyDescent="0.3">
      <c r="A51" s="266" t="s">
        <v>182</v>
      </c>
      <c r="B51" s="267"/>
      <c r="C51" s="267"/>
      <c r="D51" s="267"/>
      <c r="E51" s="267"/>
      <c r="F51" s="267"/>
      <c r="G51" s="267"/>
      <c r="H51" s="268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s="186" customFormat="1" ht="15.6" x14ac:dyDescent="0.3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53"/>
      <c r="L52" s="153"/>
      <c r="M52" s="153"/>
      <c r="N52" s="153"/>
      <c r="O52" s="153"/>
      <c r="P52" s="153"/>
      <c r="Q52" s="153"/>
    </row>
    <row r="53" spans="1:17" s="186" customFormat="1" ht="16.2" thickBot="1" x14ac:dyDescent="0.35">
      <c r="A53" s="269" t="s">
        <v>183</v>
      </c>
      <c r="B53" s="270"/>
      <c r="C53" s="165">
        <v>304.39999999999998</v>
      </c>
      <c r="D53" s="166" t="s">
        <v>184</v>
      </c>
      <c r="E53" s="149"/>
      <c r="F53" s="167" t="s">
        <v>185</v>
      </c>
      <c r="G53" s="149"/>
      <c r="H53" s="188">
        <v>40000</v>
      </c>
      <c r="I53" s="193"/>
      <c r="J53" s="193"/>
      <c r="K53" s="194"/>
      <c r="L53" s="195"/>
      <c r="M53" s="153"/>
      <c r="N53" s="193"/>
      <c r="O53" s="193"/>
      <c r="P53" s="193"/>
      <c r="Q53" s="193"/>
    </row>
    <row r="54" spans="1:17" s="186" customFormat="1" ht="15.6" x14ac:dyDescent="0.3">
      <c r="A54" s="150"/>
      <c r="B54" s="150"/>
      <c r="C54" s="151"/>
      <c r="D54" s="152"/>
      <c r="E54" s="153"/>
      <c r="F54" s="150"/>
      <c r="G54" s="153"/>
      <c r="H54" s="153"/>
      <c r="I54" s="154"/>
      <c r="J54" s="153"/>
      <c r="K54" s="155"/>
      <c r="L54" s="153"/>
      <c r="M54" s="153"/>
      <c r="N54" s="153"/>
      <c r="O54" s="153"/>
      <c r="P54" s="153"/>
      <c r="Q54" s="153"/>
    </row>
    <row r="55" spans="1:17" s="186" customFormat="1" ht="16.2" thickBot="1" x14ac:dyDescent="0.35">
      <c r="A55" s="264" t="s">
        <v>186</v>
      </c>
      <c r="B55" s="265"/>
      <c r="C55" s="265"/>
      <c r="D55" s="265"/>
      <c r="E55" s="265"/>
      <c r="F55" s="265"/>
      <c r="G55" s="265"/>
      <c r="H55" s="265"/>
      <c r="I55" s="193"/>
      <c r="J55" s="148"/>
      <c r="K55" s="148"/>
      <c r="L55" s="153"/>
      <c r="M55" s="153"/>
      <c r="N55" s="153"/>
      <c r="O55" s="153"/>
      <c r="P55" s="153"/>
      <c r="Q55" s="153"/>
    </row>
    <row r="56" spans="1:17" s="186" customFormat="1" ht="15.6" x14ac:dyDescent="0.3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3"/>
      <c r="L56" s="153"/>
      <c r="M56" s="153"/>
      <c r="N56" s="153"/>
      <c r="O56" s="153"/>
      <c r="P56" s="153"/>
      <c r="Q56" s="153"/>
    </row>
    <row r="57" spans="1:17" s="186" customFormat="1" ht="16.2" thickBot="1" x14ac:dyDescent="0.35">
      <c r="A57" s="168" t="s">
        <v>187</v>
      </c>
      <c r="B57" s="162" t="s">
        <v>188</v>
      </c>
      <c r="C57" s="162" t="s">
        <v>189</v>
      </c>
      <c r="D57" s="162" t="s">
        <v>190</v>
      </c>
      <c r="E57" s="162" t="s">
        <v>191</v>
      </c>
      <c r="F57" s="162" t="s">
        <v>192</v>
      </c>
      <c r="G57" s="162" t="s">
        <v>193</v>
      </c>
      <c r="H57" s="162" t="s">
        <v>194</v>
      </c>
      <c r="I57" s="193"/>
      <c r="J57" s="150"/>
      <c r="K57" s="193"/>
      <c r="L57" s="158"/>
      <c r="M57" s="193"/>
      <c r="N57" s="153"/>
      <c r="O57" s="193"/>
      <c r="P57" s="153"/>
      <c r="Q57" s="193"/>
    </row>
    <row r="58" spans="1:17" s="186" customFormat="1" ht="15.6" x14ac:dyDescent="0.3">
      <c r="A58" s="148"/>
      <c r="B58" s="148"/>
      <c r="C58" s="148"/>
      <c r="D58" s="148"/>
      <c r="E58" s="148"/>
      <c r="F58" s="150"/>
      <c r="G58" s="149"/>
      <c r="H58" s="149"/>
      <c r="I58" s="193"/>
      <c r="J58" s="150"/>
      <c r="K58" s="193"/>
      <c r="L58" s="153"/>
      <c r="M58" s="193"/>
      <c r="N58" s="153"/>
      <c r="O58" s="193"/>
      <c r="P58" s="153"/>
      <c r="Q58" s="193"/>
    </row>
    <row r="59" spans="1:17" s="186" customFormat="1" ht="15.6" x14ac:dyDescent="0.3">
      <c r="A59" s="152" t="s">
        <v>195</v>
      </c>
      <c r="B59" s="169">
        <v>4</v>
      </c>
      <c r="C59" s="170" t="s">
        <v>196</v>
      </c>
      <c r="D59" s="272">
        <v>45000</v>
      </c>
      <c r="E59" s="273">
        <v>184.5</v>
      </c>
      <c r="F59" s="171">
        <f>IF(D59&gt;0,(E59*B59)/D59,0)</f>
        <v>1.6400000000000001E-2</v>
      </c>
      <c r="G59" s="172">
        <f>F59*C53</f>
        <v>4.9921600000000002</v>
      </c>
      <c r="H59" s="189">
        <f t="shared" ref="H59:H65" si="5">G59+L59</f>
        <v>4.9921600000000002</v>
      </c>
      <c r="I59" s="193"/>
      <c r="J59" s="150"/>
      <c r="K59" s="193"/>
      <c r="L59" s="196"/>
      <c r="M59" s="193"/>
      <c r="N59" s="153"/>
      <c r="O59" s="193"/>
      <c r="P59" s="153"/>
      <c r="Q59" s="193"/>
    </row>
    <row r="60" spans="1:17" s="186" customFormat="1" ht="15.6" x14ac:dyDescent="0.3">
      <c r="A60" s="152" t="s">
        <v>197</v>
      </c>
      <c r="B60" s="169">
        <v>1</v>
      </c>
      <c r="C60" s="170" t="s">
        <v>198</v>
      </c>
      <c r="D60" s="274">
        <v>25</v>
      </c>
      <c r="E60" s="273">
        <v>8</v>
      </c>
      <c r="F60" s="171">
        <f>IF(D60&gt;0,(E60/D60),0)</f>
        <v>0.32</v>
      </c>
      <c r="G60" s="172">
        <f>F60*C53</f>
        <v>97.408000000000001</v>
      </c>
      <c r="H60" s="189">
        <f t="shared" si="5"/>
        <v>97.408000000000001</v>
      </c>
      <c r="I60" s="193"/>
      <c r="J60" s="150"/>
      <c r="K60" s="193"/>
      <c r="L60" s="196"/>
      <c r="M60" s="193"/>
      <c r="N60" s="153"/>
      <c r="O60" s="193"/>
      <c r="P60" s="153"/>
      <c r="Q60" s="193"/>
    </row>
    <row r="61" spans="1:17" s="186" customFormat="1" ht="15.6" x14ac:dyDescent="0.3">
      <c r="A61" s="152" t="s">
        <v>199</v>
      </c>
      <c r="B61" s="169">
        <v>1</v>
      </c>
      <c r="C61" s="173" t="s">
        <v>198</v>
      </c>
      <c r="D61" s="272">
        <v>20000</v>
      </c>
      <c r="E61" s="273">
        <v>25</v>
      </c>
      <c r="F61" s="171">
        <f>IF(D61&gt;0,(E61*B61)/D61,0)</f>
        <v>1.25E-3</v>
      </c>
      <c r="G61" s="172">
        <f>F61*C53</f>
        <v>0.3805</v>
      </c>
      <c r="H61" s="189">
        <f t="shared" si="5"/>
        <v>0.3805</v>
      </c>
      <c r="I61" s="193"/>
      <c r="J61" s="150"/>
      <c r="K61" s="193"/>
      <c r="L61" s="196"/>
      <c r="M61" s="193"/>
      <c r="N61" s="153"/>
      <c r="O61" s="193"/>
      <c r="P61" s="153"/>
      <c r="Q61" s="193"/>
    </row>
    <row r="62" spans="1:17" s="186" customFormat="1" ht="15.6" x14ac:dyDescent="0.3">
      <c r="A62" s="156" t="s">
        <v>200</v>
      </c>
      <c r="B62" s="169">
        <v>1</v>
      </c>
      <c r="C62" s="174" t="s">
        <v>198</v>
      </c>
      <c r="D62" s="272">
        <v>20000</v>
      </c>
      <c r="E62" s="273">
        <v>45</v>
      </c>
      <c r="F62" s="171">
        <f>IF(D62&gt;0,(E62*B62)/D62,0)</f>
        <v>2.2499999999999998E-3</v>
      </c>
      <c r="G62" s="172">
        <f>F62*C53</f>
        <v>0.68489999999999984</v>
      </c>
      <c r="H62" s="189">
        <f t="shared" si="5"/>
        <v>0.68489999999999984</v>
      </c>
      <c r="I62" s="193"/>
      <c r="J62" s="150"/>
      <c r="K62" s="193"/>
      <c r="L62" s="196"/>
      <c r="M62" s="193"/>
      <c r="N62" s="153"/>
      <c r="O62" s="193"/>
      <c r="P62" s="153"/>
      <c r="Q62" s="193"/>
    </row>
    <row r="63" spans="1:17" s="186" customFormat="1" ht="15.6" x14ac:dyDescent="0.3">
      <c r="A63" s="152" t="s">
        <v>201</v>
      </c>
      <c r="B63" s="169">
        <v>1</v>
      </c>
      <c r="C63" s="174" t="s">
        <v>196</v>
      </c>
      <c r="D63" s="272">
        <v>1250</v>
      </c>
      <c r="E63" s="273">
        <v>30</v>
      </c>
      <c r="F63" s="171">
        <f>IF(D63&gt;0,(E63*B63)/D63,0)</f>
        <v>2.4E-2</v>
      </c>
      <c r="G63" s="172">
        <f>F63*C53</f>
        <v>7.3055999999999992</v>
      </c>
      <c r="H63" s="189">
        <f t="shared" si="5"/>
        <v>7.3055999999999992</v>
      </c>
      <c r="I63" s="193"/>
      <c r="J63" s="150"/>
      <c r="K63" s="193"/>
      <c r="L63" s="196"/>
      <c r="M63" s="193"/>
      <c r="N63" s="153"/>
      <c r="O63" s="193"/>
      <c r="P63" s="153"/>
      <c r="Q63" s="193"/>
    </row>
    <row r="64" spans="1:17" s="186" customFormat="1" ht="16.2" thickBot="1" x14ac:dyDescent="0.35">
      <c r="A64" s="150" t="s">
        <v>202</v>
      </c>
      <c r="B64" s="175">
        <v>2</v>
      </c>
      <c r="C64" s="176" t="s">
        <v>196</v>
      </c>
      <c r="D64" s="272">
        <v>45000</v>
      </c>
      <c r="E64" s="273">
        <v>220</v>
      </c>
      <c r="F64" s="171">
        <f>IF(D64&gt;0,(E64*B64)/D64,0)</f>
        <v>9.7777777777777776E-3</v>
      </c>
      <c r="G64" s="172">
        <f>F64*C53</f>
        <v>2.9763555555555552</v>
      </c>
      <c r="H64" s="189">
        <f t="shared" si="5"/>
        <v>2.9763555555555552</v>
      </c>
      <c r="I64" s="193"/>
      <c r="J64" s="150"/>
      <c r="K64" s="193"/>
      <c r="L64" s="196"/>
      <c r="M64" s="193"/>
      <c r="N64" s="153"/>
      <c r="O64" s="193"/>
      <c r="P64" s="153"/>
      <c r="Q64" s="193"/>
    </row>
    <row r="65" spans="1:17" s="186" customFormat="1" ht="16.2" thickBot="1" x14ac:dyDescent="0.35">
      <c r="A65" s="159" t="s">
        <v>203</v>
      </c>
      <c r="B65" s="150"/>
      <c r="C65" s="187"/>
      <c r="D65" s="275">
        <v>10000</v>
      </c>
      <c r="E65" s="276">
        <v>0.01</v>
      </c>
      <c r="F65" s="177">
        <f>IF(D65&gt;0,E65*(H53-(B60*E60))/D65,0)</f>
        <v>3.9992E-2</v>
      </c>
      <c r="G65" s="178">
        <f>F65*C53</f>
        <v>12.173564799999999</v>
      </c>
      <c r="H65" s="190">
        <f t="shared" si="5"/>
        <v>12.173564799999999</v>
      </c>
      <c r="I65" s="193"/>
      <c r="J65" s="150"/>
      <c r="K65" s="193"/>
      <c r="L65" s="196"/>
      <c r="M65" s="193"/>
      <c r="N65" s="153"/>
      <c r="O65" s="193"/>
      <c r="P65" s="153"/>
      <c r="Q65" s="193"/>
    </row>
    <row r="66" spans="1:17" s="186" customFormat="1" ht="15.6" x14ac:dyDescent="0.3">
      <c r="A66" s="149"/>
      <c r="B66" s="149"/>
      <c r="C66" s="149"/>
      <c r="D66" s="150"/>
      <c r="E66" s="150"/>
      <c r="F66" s="150"/>
      <c r="G66" s="149"/>
      <c r="H66" s="149"/>
      <c r="I66" s="150"/>
      <c r="J66" s="150"/>
      <c r="K66" s="193"/>
      <c r="L66" s="153"/>
      <c r="M66" s="193"/>
      <c r="N66" s="153"/>
      <c r="O66" s="193"/>
      <c r="P66" s="153"/>
      <c r="Q66" s="193"/>
    </row>
    <row r="67" spans="1:17" s="186" customFormat="1" ht="16.2" thickBot="1" x14ac:dyDescent="0.35">
      <c r="A67" s="150"/>
      <c r="B67" s="150"/>
      <c r="C67" s="157"/>
      <c r="D67" s="150"/>
      <c r="E67" s="179" t="s">
        <v>194</v>
      </c>
      <c r="F67" s="180">
        <f>SUM(F59:F64)</f>
        <v>0.37367777777777778</v>
      </c>
      <c r="G67" s="181">
        <f>SUM(G59:G64)</f>
        <v>113.74751555555555</v>
      </c>
      <c r="H67" s="191">
        <f>SUM(H59:H65)</f>
        <v>125.92108035555555</v>
      </c>
      <c r="I67" s="193"/>
      <c r="J67" s="158"/>
      <c r="K67" s="193"/>
      <c r="L67" s="157"/>
      <c r="M67" s="193"/>
      <c r="N67" s="153"/>
      <c r="O67" s="193"/>
      <c r="P67" s="153"/>
      <c r="Q67" s="193"/>
    </row>
    <row r="68" spans="1:17" s="186" customFormat="1" ht="15.6" x14ac:dyDescent="0.3">
      <c r="A68" s="150"/>
      <c r="B68" s="150"/>
      <c r="C68" s="157"/>
      <c r="D68" s="150"/>
      <c r="E68" s="159"/>
      <c r="F68" s="150"/>
      <c r="G68" s="149"/>
      <c r="H68" s="149"/>
      <c r="I68" s="160"/>
      <c r="J68" s="150"/>
      <c r="K68" s="150"/>
      <c r="L68" s="153"/>
      <c r="M68" s="153"/>
      <c r="N68" s="153"/>
      <c r="O68" s="153"/>
      <c r="P68" s="153"/>
      <c r="Q68" s="153"/>
    </row>
    <row r="69" spans="1:17" s="186" customFormat="1" ht="16.2" thickBot="1" x14ac:dyDescent="0.35">
      <c r="A69" s="161"/>
      <c r="B69" s="162"/>
      <c r="C69" s="162" t="s">
        <v>204</v>
      </c>
      <c r="D69" s="162"/>
      <c r="E69" s="162"/>
      <c r="F69" s="163"/>
      <c r="G69" s="162"/>
      <c r="H69" s="162"/>
      <c r="I69" s="193"/>
      <c r="J69" s="148"/>
      <c r="K69" s="148"/>
      <c r="L69" s="153"/>
      <c r="M69" s="153"/>
      <c r="N69" s="153"/>
      <c r="O69" s="153"/>
      <c r="P69" s="153"/>
      <c r="Q69" s="153"/>
    </row>
    <row r="70" spans="1:17" s="186" customFormat="1" ht="15.6" x14ac:dyDescent="0.3">
      <c r="A70" s="148"/>
      <c r="B70" s="148"/>
      <c r="C70" s="148" t="s">
        <v>205</v>
      </c>
      <c r="D70" s="148" t="s">
        <v>206</v>
      </c>
      <c r="E70" s="148"/>
      <c r="F70" s="148"/>
      <c r="G70" s="148"/>
      <c r="H70" s="148"/>
      <c r="I70" s="193"/>
      <c r="J70" s="148"/>
      <c r="K70" s="193"/>
      <c r="L70" s="153"/>
      <c r="M70" s="153"/>
      <c r="N70" s="153"/>
      <c r="O70" s="153"/>
      <c r="P70" s="153"/>
      <c r="Q70" s="153"/>
    </row>
    <row r="71" spans="1:17" s="186" customFormat="1" ht="16.2" thickBot="1" x14ac:dyDescent="0.35">
      <c r="A71" s="262" t="s">
        <v>207</v>
      </c>
      <c r="B71" s="263"/>
      <c r="C71" s="277">
        <f>H53*2%</f>
        <v>800</v>
      </c>
      <c r="D71" s="178">
        <f>C71/12</f>
        <v>66.666666666666671</v>
      </c>
      <c r="E71" s="148"/>
      <c r="F71" s="148"/>
      <c r="G71" s="148"/>
      <c r="H71" s="148"/>
      <c r="I71" s="193"/>
      <c r="J71" s="148"/>
      <c r="K71" s="193"/>
      <c r="L71" s="153"/>
      <c r="M71" s="153"/>
      <c r="N71" s="153"/>
      <c r="O71" s="153"/>
      <c r="P71" s="153"/>
      <c r="Q71" s="153"/>
    </row>
    <row r="72" spans="1:17" s="186" customFormat="1" ht="15.6" x14ac:dyDescent="0.3">
      <c r="A72" s="148"/>
      <c r="B72" s="148"/>
      <c r="C72" s="148"/>
      <c r="D72" s="148"/>
      <c r="E72" s="148"/>
      <c r="F72" s="148"/>
      <c r="G72" s="148"/>
      <c r="H72" s="148"/>
      <c r="I72" s="193"/>
      <c r="J72" s="148"/>
      <c r="K72" s="193"/>
      <c r="L72" s="153"/>
      <c r="M72" s="153"/>
      <c r="N72" s="153"/>
      <c r="O72" s="153"/>
      <c r="P72" s="153"/>
      <c r="Q72" s="153"/>
    </row>
    <row r="73" spans="1:17" s="186" customFormat="1" ht="16.2" thickBot="1" x14ac:dyDescent="0.35">
      <c r="A73" s="150" t="s">
        <v>208</v>
      </c>
      <c r="B73" s="148"/>
      <c r="C73" s="277">
        <v>3500</v>
      </c>
      <c r="D73" s="178">
        <f>C73/12</f>
        <v>291.66666666666669</v>
      </c>
      <c r="E73" s="182" t="s">
        <v>5</v>
      </c>
      <c r="F73" s="149"/>
      <c r="G73" s="183">
        <f>SUM(D71:D73)</f>
        <v>358.33333333333337</v>
      </c>
      <c r="H73" s="148"/>
      <c r="I73" s="193"/>
      <c r="J73" s="148"/>
      <c r="K73" s="193"/>
      <c r="L73" s="153"/>
      <c r="M73" s="153"/>
      <c r="N73" s="153"/>
      <c r="O73" s="193"/>
      <c r="P73" s="193"/>
      <c r="Q73" s="193"/>
    </row>
    <row r="74" spans="1:17" s="186" customFormat="1" ht="15.6" x14ac:dyDescent="0.3">
      <c r="A74" s="150"/>
      <c r="B74" s="150"/>
      <c r="C74" s="157"/>
      <c r="D74" s="150"/>
      <c r="E74" s="149"/>
      <c r="F74" s="149"/>
      <c r="G74" s="149"/>
      <c r="H74" s="153"/>
      <c r="I74" s="160"/>
      <c r="J74" s="150"/>
      <c r="K74" s="150"/>
      <c r="L74" s="153"/>
      <c r="M74" s="153"/>
      <c r="N74" s="153"/>
      <c r="O74" s="193"/>
      <c r="P74" s="193"/>
      <c r="Q74" s="193"/>
    </row>
    <row r="75" spans="1:17" s="186" customFormat="1" ht="16.2" thickBot="1" x14ac:dyDescent="0.35">
      <c r="A75" s="149"/>
      <c r="B75" s="149"/>
      <c r="C75" s="149"/>
      <c r="D75" s="150"/>
      <c r="E75" s="184" t="s">
        <v>209</v>
      </c>
      <c r="F75" s="164"/>
      <c r="G75" s="185">
        <f>IF(C53&gt;0,H67+G73,0)</f>
        <v>484.25441368888892</v>
      </c>
      <c r="H75" s="153"/>
      <c r="I75" s="153"/>
      <c r="J75" s="158"/>
      <c r="K75" s="153"/>
      <c r="L75" s="153"/>
      <c r="M75" s="153"/>
      <c r="N75" s="153"/>
      <c r="O75" s="193"/>
      <c r="P75" s="193"/>
      <c r="Q75" s="193"/>
    </row>
    <row r="76" spans="1:17" x14ac:dyDescent="0.3">
      <c r="I76" s="87"/>
      <c r="J76" s="87"/>
      <c r="K76" s="87"/>
      <c r="L76" s="87"/>
      <c r="M76" s="87"/>
      <c r="N76" s="87"/>
      <c r="O76" s="87"/>
      <c r="P76" s="87"/>
      <c r="Q76" s="87"/>
    </row>
  </sheetData>
  <sheetProtection password="F668" sheet="1" objects="1" scenarios="1"/>
  <mergeCells count="19">
    <mergeCell ref="A34:C34"/>
    <mergeCell ref="A3:E3"/>
    <mergeCell ref="A4:E4"/>
    <mergeCell ref="A8:E8"/>
    <mergeCell ref="A12:D12"/>
    <mergeCell ref="A16:D16"/>
    <mergeCell ref="A17:D17"/>
    <mergeCell ref="A20:B20"/>
    <mergeCell ref="A21:C21"/>
    <mergeCell ref="A23:D23"/>
    <mergeCell ref="A26:D26"/>
    <mergeCell ref="A27:D27"/>
    <mergeCell ref="A71:B71"/>
    <mergeCell ref="A35:D35"/>
    <mergeCell ref="A43:C43"/>
    <mergeCell ref="A44:C44"/>
    <mergeCell ref="A51:H51"/>
    <mergeCell ref="A53:B53"/>
    <mergeCell ref="A55:H55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showGridLines="0" workbookViewId="0">
      <selection activeCell="A12" sqref="A12:B1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31" t="s">
        <v>100</v>
      </c>
      <c r="B1" s="231"/>
      <c r="C1" s="231"/>
      <c r="D1" s="231"/>
    </row>
    <row r="2" spans="1:5" ht="22.8" x14ac:dyDescent="0.4">
      <c r="A2" s="231" t="s">
        <v>101</v>
      </c>
      <c r="B2" s="231"/>
      <c r="C2" s="231"/>
      <c r="D2" s="231"/>
    </row>
    <row r="3" spans="1:5" ht="27.75" customHeight="1" x14ac:dyDescent="0.3">
      <c r="A3" s="235"/>
      <c r="B3" s="235"/>
      <c r="C3" s="235"/>
      <c r="D3" s="235"/>
    </row>
    <row r="4" spans="1:5" x14ac:dyDescent="0.3">
      <c r="A4" s="32" t="s">
        <v>109</v>
      </c>
      <c r="B4" s="230" t="s">
        <v>163</v>
      </c>
      <c r="C4" s="230"/>
    </row>
    <row r="5" spans="1:5" x14ac:dyDescent="0.3">
      <c r="A5" s="32" t="s">
        <v>110</v>
      </c>
      <c r="B5" s="230" t="s">
        <v>143</v>
      </c>
      <c r="C5" s="230"/>
      <c r="E5" s="53"/>
    </row>
    <row r="6" spans="1:5" x14ac:dyDescent="0.3">
      <c r="A6" s="32"/>
      <c r="B6" s="230"/>
      <c r="C6" s="230"/>
    </row>
    <row r="7" spans="1:5" x14ac:dyDescent="0.3">
      <c r="A7" s="234" t="s">
        <v>35</v>
      </c>
      <c r="B7" s="234"/>
      <c r="C7" s="234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32" t="s">
        <v>5</v>
      </c>
      <c r="B12" s="233"/>
      <c r="C12" s="39">
        <f>SUM(C10:C11)</f>
        <v>2399.2280000000001</v>
      </c>
    </row>
    <row r="15" spans="1:5" x14ac:dyDescent="0.3">
      <c r="A15" s="223" t="s">
        <v>48</v>
      </c>
      <c r="B15" s="223"/>
      <c r="C15" s="223"/>
    </row>
    <row r="16" spans="1:5" x14ac:dyDescent="0.3">
      <c r="A16" s="12"/>
    </row>
    <row r="17" spans="1:4" x14ac:dyDescent="0.3">
      <c r="A17" s="226" t="s">
        <v>49</v>
      </c>
      <c r="B17" s="226"/>
      <c r="C17" s="226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229" t="s">
        <v>54</v>
      </c>
      <c r="B25" s="229"/>
      <c r="C25" s="229"/>
      <c r="D25" s="229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6" t="s">
        <v>65</v>
      </c>
      <c r="B39" s="226"/>
      <c r="C39" s="226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232" t="s">
        <v>5</v>
      </c>
      <c r="B47" s="233"/>
      <c r="C47" s="23">
        <f>SUM(C42:C46)</f>
        <v>618.3035440000001</v>
      </c>
    </row>
    <row r="50" spans="1:4" x14ac:dyDescent="0.3">
      <c r="A50" s="226" t="s">
        <v>69</v>
      </c>
      <c r="B50" s="226"/>
      <c r="C50" s="226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3" t="s">
        <v>71</v>
      </c>
      <c r="B59" s="223"/>
      <c r="C59" s="223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3" t="s">
        <v>79</v>
      </c>
      <c r="B71" s="223"/>
      <c r="C71" s="223"/>
    </row>
    <row r="74" spans="1:4" x14ac:dyDescent="0.3">
      <c r="A74" s="226" t="s">
        <v>80</v>
      </c>
      <c r="B74" s="226"/>
      <c r="C74" s="226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6" t="s">
        <v>86</v>
      </c>
      <c r="B86" s="226"/>
      <c r="C86" s="226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6" t="s">
        <v>89</v>
      </c>
      <c r="B93" s="226"/>
      <c r="C93" s="226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3" t="s">
        <v>91</v>
      </c>
      <c r="B101" s="223"/>
      <c r="C101" s="223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3" t="s">
        <v>94</v>
      </c>
      <c r="B111" s="223"/>
      <c r="C111" s="223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227" t="s">
        <v>64</v>
      </c>
      <c r="B122" s="228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223" t="s">
        <v>95</v>
      </c>
      <c r="B125" s="223"/>
      <c r="C125" s="223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224" t="s">
        <v>97</v>
      </c>
      <c r="B133" s="22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221" t="s">
        <v>99</v>
      </c>
      <c r="B135" s="222"/>
      <c r="C135" s="49">
        <f>C133+C134</f>
        <v>6646.4655293257401</v>
      </c>
    </row>
    <row r="136" spans="1:3" ht="16.5" customHeight="1" x14ac:dyDescent="0.3">
      <c r="A136" s="218" t="s">
        <v>118</v>
      </c>
      <c r="B136" s="219"/>
      <c r="C136" s="51">
        <v>2</v>
      </c>
    </row>
    <row r="137" spans="1:3" ht="16.2" thickBot="1" x14ac:dyDescent="0.35">
      <c r="A137" s="220" t="s">
        <v>119</v>
      </c>
      <c r="B137" s="220"/>
      <c r="C137" s="50">
        <f>C135*C136</f>
        <v>13292.93105865148</v>
      </c>
    </row>
  </sheetData>
  <sheetProtection password="F668" sheet="1" objects="1" scenarios="1"/>
  <mergeCells count="35">
    <mergeCell ref="A39:C39"/>
    <mergeCell ref="A36:B36"/>
    <mergeCell ref="A68:B68"/>
    <mergeCell ref="A59:C59"/>
    <mergeCell ref="A56:B56"/>
    <mergeCell ref="A50:C50"/>
    <mergeCell ref="A47:B47"/>
    <mergeCell ref="A1:D1"/>
    <mergeCell ref="A2:D2"/>
    <mergeCell ref="A12:B12"/>
    <mergeCell ref="A7:C7"/>
    <mergeCell ref="A15:C15"/>
    <mergeCell ref="A3:D3"/>
    <mergeCell ref="A25:D25"/>
    <mergeCell ref="A17:C17"/>
    <mergeCell ref="B4:C4"/>
    <mergeCell ref="B5:C5"/>
    <mergeCell ref="B6:C6"/>
    <mergeCell ref="A22:B22"/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workbookViewId="0">
      <selection activeCell="B11" sqref="B11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31" t="s">
        <v>100</v>
      </c>
      <c r="B1" s="231"/>
      <c r="C1" s="231"/>
      <c r="D1" s="231"/>
    </row>
    <row r="2" spans="1:5" ht="22.8" x14ac:dyDescent="0.4">
      <c r="A2" s="231" t="s">
        <v>101</v>
      </c>
      <c r="B2" s="231"/>
      <c r="C2" s="231"/>
      <c r="D2" s="231"/>
    </row>
    <row r="3" spans="1:5" ht="27.75" customHeight="1" x14ac:dyDescent="0.3">
      <c r="A3" s="235"/>
      <c r="B3" s="235"/>
      <c r="C3" s="235"/>
      <c r="D3" s="235"/>
    </row>
    <row r="4" spans="1:5" x14ac:dyDescent="0.3">
      <c r="A4" s="32" t="s">
        <v>109</v>
      </c>
      <c r="B4" s="236" t="s">
        <v>163</v>
      </c>
      <c r="C4" s="237"/>
    </row>
    <row r="5" spans="1:5" x14ac:dyDescent="0.3">
      <c r="A5" s="32" t="s">
        <v>110</v>
      </c>
      <c r="B5" s="236" t="s">
        <v>151</v>
      </c>
      <c r="C5" s="237"/>
      <c r="E5" s="53"/>
    </row>
    <row r="6" spans="1:5" x14ac:dyDescent="0.3">
      <c r="A6" s="32"/>
      <c r="B6" s="236"/>
      <c r="C6" s="237"/>
    </row>
    <row r="7" spans="1:5" x14ac:dyDescent="0.3">
      <c r="A7" s="234" t="s">
        <v>35</v>
      </c>
      <c r="B7" s="234"/>
      <c r="C7" s="234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32" t="s">
        <v>5</v>
      </c>
      <c r="B14" s="233"/>
      <c r="C14" s="39">
        <f>SUM(C10:C13)</f>
        <v>2830.7836837090913</v>
      </c>
    </row>
    <row r="17" spans="1:4" x14ac:dyDescent="0.3">
      <c r="A17" s="223" t="s">
        <v>48</v>
      </c>
      <c r="B17" s="223"/>
      <c r="C17" s="223"/>
    </row>
    <row r="18" spans="1:4" x14ac:dyDescent="0.3">
      <c r="A18" s="12"/>
    </row>
    <row r="19" spans="1:4" x14ac:dyDescent="0.3">
      <c r="A19" s="226" t="s">
        <v>49</v>
      </c>
      <c r="B19" s="226"/>
      <c r="C19" s="226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229" t="s">
        <v>54</v>
      </c>
      <c r="B27" s="229"/>
      <c r="C27" s="229"/>
      <c r="D27" s="229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6" t="s">
        <v>65</v>
      </c>
      <c r="B41" s="226"/>
      <c r="C41" s="226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232" t="s">
        <v>5</v>
      </c>
      <c r="B49" s="233"/>
      <c r="C49" s="23">
        <f>SUM(C44:C48)</f>
        <v>618.3035440000001</v>
      </c>
    </row>
    <row r="52" spans="1:4" x14ac:dyDescent="0.3">
      <c r="A52" s="226" t="s">
        <v>69</v>
      </c>
      <c r="B52" s="226"/>
      <c r="C52" s="226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3" t="s">
        <v>71</v>
      </c>
      <c r="B61" s="223"/>
      <c r="C61" s="223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3" t="s">
        <v>79</v>
      </c>
      <c r="B73" s="223"/>
      <c r="C73" s="223"/>
    </row>
    <row r="76" spans="1:4" x14ac:dyDescent="0.3">
      <c r="A76" s="226" t="s">
        <v>80</v>
      </c>
      <c r="B76" s="226"/>
      <c r="C76" s="226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6" t="s">
        <v>86</v>
      </c>
      <c r="B88" s="226"/>
      <c r="C88" s="226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6" t="s">
        <v>89</v>
      </c>
      <c r="B95" s="226"/>
      <c r="C95" s="226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3" t="s">
        <v>91</v>
      </c>
      <c r="B103" s="223"/>
      <c r="C103" s="223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36'!C39</f>
        <v>60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36'!D27</f>
        <v>0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3" t="s">
        <v>94</v>
      </c>
      <c r="B113" s="223"/>
      <c r="C113" s="223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2" thickBot="1" x14ac:dyDescent="0.35">
      <c r="A124" s="227" t="s">
        <v>64</v>
      </c>
      <c r="B124" s="228"/>
      <c r="C124" s="44">
        <f>C116+C117+C119+C122+C123</f>
        <v>0.25650000000000001</v>
      </c>
      <c r="D124" s="45">
        <f>D116+D117+D119+D122+D123</f>
        <v>1628.7988070611511</v>
      </c>
    </row>
    <row r="127" spans="1:4" x14ac:dyDescent="0.3">
      <c r="A127" s="223" t="s">
        <v>95</v>
      </c>
      <c r="B127" s="223"/>
      <c r="C127" s="223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5" customHeight="1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1628.7988070611511</v>
      </c>
    </row>
    <row r="137" spans="1:3" ht="16.5" customHeight="1" x14ac:dyDescent="0.3">
      <c r="A137" s="221" t="s">
        <v>99</v>
      </c>
      <c r="B137" s="222"/>
      <c r="C137" s="49">
        <f>C135+C136</f>
        <v>7480.1048515033444</v>
      </c>
    </row>
    <row r="138" spans="1:3" ht="16.5" customHeight="1" x14ac:dyDescent="0.3">
      <c r="A138" s="218" t="s">
        <v>118</v>
      </c>
      <c r="B138" s="219"/>
      <c r="C138" s="51">
        <v>2</v>
      </c>
    </row>
    <row r="139" spans="1:3" ht="16.2" thickBot="1" x14ac:dyDescent="0.35">
      <c r="A139" s="220" t="s">
        <v>119</v>
      </c>
      <c r="B139" s="220"/>
      <c r="C139" s="50">
        <f>C137*C138</f>
        <v>14960.209703006689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7"/>
  <sheetViews>
    <sheetView topLeftCell="A136" workbookViewId="0">
      <selection activeCell="C47" sqref="C4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231" t="s">
        <v>100</v>
      </c>
      <c r="B1" s="231"/>
      <c r="C1" s="231"/>
      <c r="D1" s="231"/>
    </row>
    <row r="2" spans="1:5" ht="22.8" x14ac:dyDescent="0.4">
      <c r="A2" s="231" t="s">
        <v>101</v>
      </c>
      <c r="B2" s="231"/>
      <c r="C2" s="231"/>
      <c r="D2" s="231"/>
    </row>
    <row r="3" spans="1:5" x14ac:dyDescent="0.3">
      <c r="A3" s="235"/>
      <c r="B3" s="235"/>
      <c r="C3" s="235"/>
      <c r="D3" s="235"/>
    </row>
    <row r="4" spans="1:5" x14ac:dyDescent="0.3">
      <c r="A4" s="32" t="s">
        <v>109</v>
      </c>
      <c r="B4" s="230" t="s">
        <v>163</v>
      </c>
      <c r="C4" s="230"/>
    </row>
    <row r="5" spans="1:5" x14ac:dyDescent="0.3">
      <c r="A5" s="32" t="s">
        <v>110</v>
      </c>
      <c r="B5" s="230" t="s">
        <v>143</v>
      </c>
      <c r="C5" s="230"/>
      <c r="E5" s="53"/>
    </row>
    <row r="6" spans="1:5" x14ac:dyDescent="0.3">
      <c r="A6" s="32"/>
      <c r="B6" s="230"/>
      <c r="C6" s="230"/>
    </row>
    <row r="7" spans="1:5" x14ac:dyDescent="0.3">
      <c r="A7" s="234" t="s">
        <v>35</v>
      </c>
      <c r="B7" s="234"/>
      <c r="C7" s="234"/>
    </row>
    <row r="8" spans="1:5" ht="16.2" thickBot="1" x14ac:dyDescent="0.35"/>
    <row r="9" spans="1:5" ht="16.2" thickBot="1" x14ac:dyDescent="0.35">
      <c r="A9" s="13">
        <v>1</v>
      </c>
      <c r="B9" s="132" t="s">
        <v>36</v>
      </c>
      <c r="C9" s="132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232" t="s">
        <v>5</v>
      </c>
      <c r="B12" s="233"/>
      <c r="C12" s="39">
        <f>SUM(C10:C11)</f>
        <v>2399.2280000000001</v>
      </c>
    </row>
    <row r="15" spans="1:5" x14ac:dyDescent="0.3">
      <c r="A15" s="223" t="s">
        <v>48</v>
      </c>
      <c r="B15" s="223"/>
      <c r="C15" s="223"/>
    </row>
    <row r="16" spans="1:5" x14ac:dyDescent="0.3">
      <c r="A16" s="12"/>
    </row>
    <row r="17" spans="1:4" x14ac:dyDescent="0.3">
      <c r="A17" s="226" t="s">
        <v>49</v>
      </c>
      <c r="B17" s="226"/>
      <c r="C17" s="226"/>
    </row>
    <row r="18" spans="1:4" ht="16.2" thickBot="1" x14ac:dyDescent="0.35"/>
    <row r="19" spans="1:4" ht="16.2" thickBot="1" x14ac:dyDescent="0.35">
      <c r="A19" s="13" t="s">
        <v>50</v>
      </c>
      <c r="B19" s="132" t="s">
        <v>51</v>
      </c>
      <c r="C19" s="132" t="s">
        <v>57</v>
      </c>
      <c r="D19" s="13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224" t="s">
        <v>5</v>
      </c>
      <c r="B22" s="225"/>
      <c r="C22" s="40">
        <f>SUM(C20:C21)</f>
        <v>0.20429999999999998</v>
      </c>
      <c r="D22" s="41">
        <f>C$12*C22</f>
        <v>490.16228039999999</v>
      </c>
    </row>
    <row r="25" spans="1:4" x14ac:dyDescent="0.3">
      <c r="A25" s="229" t="s">
        <v>54</v>
      </c>
      <c r="B25" s="229"/>
      <c r="C25" s="229"/>
      <c r="D25" s="229"/>
    </row>
    <row r="26" spans="1:4" ht="16.2" thickBot="1" x14ac:dyDescent="0.35"/>
    <row r="27" spans="1:4" ht="16.2" thickBot="1" x14ac:dyDescent="0.35">
      <c r="A27" s="13" t="s">
        <v>55</v>
      </c>
      <c r="B27" s="132" t="s">
        <v>56</v>
      </c>
      <c r="C27" s="132" t="s">
        <v>57</v>
      </c>
      <c r="D27" s="132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6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224" t="s">
        <v>64</v>
      </c>
      <c r="B36" s="225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226" t="s">
        <v>65</v>
      </c>
      <c r="B39" s="226"/>
      <c r="C39" s="226"/>
    </row>
    <row r="40" spans="1:5" ht="16.2" thickBot="1" x14ac:dyDescent="0.35"/>
    <row r="41" spans="1:5" ht="16.2" thickBot="1" x14ac:dyDescent="0.35">
      <c r="A41" s="13" t="s">
        <v>66</v>
      </c>
      <c r="B41" s="132" t="s">
        <v>67</v>
      </c>
      <c r="C41" s="132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7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8" t="s">
        <v>145</v>
      </c>
      <c r="C46" s="117"/>
    </row>
    <row r="47" spans="1:5" ht="16.2" thickBot="1" x14ac:dyDescent="0.35">
      <c r="A47" s="232" t="s">
        <v>5</v>
      </c>
      <c r="B47" s="233"/>
      <c r="C47" s="23">
        <f>SUM(C42:C46)</f>
        <v>618.3035440000001</v>
      </c>
    </row>
    <row r="50" spans="1:4" x14ac:dyDescent="0.3">
      <c r="A50" s="226" t="s">
        <v>69</v>
      </c>
      <c r="B50" s="226"/>
      <c r="C50" s="226"/>
    </row>
    <row r="51" spans="1:4" ht="16.2" thickBot="1" x14ac:dyDescent="0.35"/>
    <row r="52" spans="1:4" ht="16.2" thickBot="1" x14ac:dyDescent="0.35">
      <c r="A52" s="13">
        <v>2</v>
      </c>
      <c r="B52" s="132" t="s">
        <v>70</v>
      </c>
      <c r="C52" s="132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224" t="s">
        <v>5</v>
      </c>
      <c r="B56" s="225"/>
      <c r="C56" s="23">
        <f>SUM(C53:C55)</f>
        <v>2171.7614475872006</v>
      </c>
    </row>
    <row r="57" spans="1:4" x14ac:dyDescent="0.3">
      <c r="A57" s="2"/>
    </row>
    <row r="59" spans="1:4" x14ac:dyDescent="0.3">
      <c r="A59" s="223" t="s">
        <v>71</v>
      </c>
      <c r="B59" s="223"/>
      <c r="C59" s="223"/>
    </row>
    <row r="60" spans="1:4" ht="16.2" thickBot="1" x14ac:dyDescent="0.35"/>
    <row r="61" spans="1:4" ht="16.2" thickBot="1" x14ac:dyDescent="0.35">
      <c r="A61" s="13">
        <v>3</v>
      </c>
      <c r="B61" s="132" t="s">
        <v>72</v>
      </c>
      <c r="C61" s="132" t="s">
        <v>57</v>
      </c>
      <c r="D61" s="13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224" t="s">
        <v>5</v>
      </c>
      <c r="B68" s="225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223" t="s">
        <v>79</v>
      </c>
      <c r="B71" s="223"/>
      <c r="C71" s="223"/>
    </row>
    <row r="74" spans="1:4" x14ac:dyDescent="0.3">
      <c r="A74" s="226" t="s">
        <v>80</v>
      </c>
      <c r="B74" s="226"/>
      <c r="C74" s="226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32" t="s">
        <v>82</v>
      </c>
      <c r="C76" s="132" t="s">
        <v>57</v>
      </c>
      <c r="D76" s="132" t="s">
        <v>37</v>
      </c>
    </row>
    <row r="77" spans="1:4" ht="16.2" thickBot="1" x14ac:dyDescent="0.35">
      <c r="A77" s="15" t="s">
        <v>38</v>
      </c>
      <c r="B77" s="16" t="s">
        <v>164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19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19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19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19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0" t="s">
        <v>47</v>
      </c>
      <c r="C82" s="119">
        <v>0</v>
      </c>
      <c r="D82" s="23">
        <f t="shared" si="1"/>
        <v>0</v>
      </c>
    </row>
    <row r="83" spans="1:6" ht="16.2" thickBot="1" x14ac:dyDescent="0.35">
      <c r="A83" s="224" t="s">
        <v>64</v>
      </c>
      <c r="B83" s="225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226" t="s">
        <v>86</v>
      </c>
      <c r="B86" s="226"/>
      <c r="C86" s="226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32" t="s">
        <v>129</v>
      </c>
      <c r="C88" s="132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224" t="s">
        <v>5</v>
      </c>
      <c r="B90" s="225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226" t="s">
        <v>89</v>
      </c>
      <c r="B93" s="226"/>
      <c r="C93" s="226"/>
    </row>
    <row r="94" spans="1:6" ht="16.2" thickBot="1" x14ac:dyDescent="0.35">
      <c r="A94" s="12"/>
    </row>
    <row r="95" spans="1:6" ht="16.2" thickBot="1" x14ac:dyDescent="0.35">
      <c r="A95" s="13">
        <v>4</v>
      </c>
      <c r="B95" s="132" t="s">
        <v>90</v>
      </c>
      <c r="C95" s="132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224" t="s">
        <v>5</v>
      </c>
      <c r="B98" s="225"/>
      <c r="C98" s="39">
        <f>C96+C97</f>
        <v>281.4052097737374</v>
      </c>
    </row>
    <row r="101" spans="1:3" x14ac:dyDescent="0.3">
      <c r="A101" s="223" t="s">
        <v>91</v>
      </c>
      <c r="B101" s="223"/>
      <c r="C101" s="223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32" t="s">
        <v>37</v>
      </c>
    </row>
    <row r="104" spans="1:3" ht="16.2" thickBot="1" x14ac:dyDescent="0.35">
      <c r="A104" s="15" t="s">
        <v>38</v>
      </c>
      <c r="B104" s="16" t="s">
        <v>92</v>
      </c>
      <c r="C104" s="117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7">
        <f>'Planilha de Apoio - P 12 x 36'!D34</f>
        <v>72.938749999999999</v>
      </c>
    </row>
    <row r="106" spans="1:3" ht="16.2" thickBot="1" x14ac:dyDescent="0.35">
      <c r="A106" s="15" t="s">
        <v>41</v>
      </c>
      <c r="B106" s="120" t="s">
        <v>146</v>
      </c>
      <c r="C106" s="117"/>
    </row>
    <row r="107" spans="1:3" ht="16.2" thickBot="1" x14ac:dyDescent="0.35">
      <c r="A107" s="15" t="s">
        <v>42</v>
      </c>
      <c r="B107" s="120" t="s">
        <v>146</v>
      </c>
      <c r="C107" s="117"/>
    </row>
    <row r="108" spans="1:3" ht="16.2" thickBot="1" x14ac:dyDescent="0.35">
      <c r="A108" s="224" t="s">
        <v>64</v>
      </c>
      <c r="B108" s="225"/>
      <c r="C108" s="23">
        <f>SUM(C104:C107)</f>
        <v>176.27208333333334</v>
      </c>
    </row>
    <row r="111" spans="1:3" x14ac:dyDescent="0.3">
      <c r="A111" s="223" t="s">
        <v>94</v>
      </c>
      <c r="B111" s="223"/>
      <c r="C111" s="223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32" t="s">
        <v>57</v>
      </c>
      <c r="D113" s="132" t="s">
        <v>37</v>
      </c>
    </row>
    <row r="114" spans="1:4" ht="16.2" thickBot="1" x14ac:dyDescent="0.35">
      <c r="A114" s="15" t="s">
        <v>38</v>
      </c>
      <c r="B114" s="43" t="s">
        <v>24</v>
      </c>
      <c r="C114" s="116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6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0.03</v>
      </c>
      <c r="D121" s="45">
        <f>C121*(C$133+D$114+D$115)</f>
        <v>188.73068232822732</v>
      </c>
    </row>
    <row r="122" spans="1:4" ht="16.2" thickBot="1" x14ac:dyDescent="0.35">
      <c r="A122" s="227" t="s">
        <v>64</v>
      </c>
      <c r="B122" s="228"/>
      <c r="C122" s="44">
        <f>C114+C115+C117+C120+C121</f>
        <v>0.26650000000000001</v>
      </c>
      <c r="D122" s="45">
        <f>D114+D115+D117+D120+D121</f>
        <v>1510.1834061286104</v>
      </c>
    </row>
    <row r="125" spans="1:4" x14ac:dyDescent="0.3">
      <c r="A125" s="223" t="s">
        <v>95</v>
      </c>
      <c r="B125" s="223"/>
      <c r="C125" s="223"/>
    </row>
    <row r="126" spans="1:4" ht="16.2" thickBot="1" x14ac:dyDescent="0.35"/>
    <row r="127" spans="1:4" ht="16.2" thickBot="1" x14ac:dyDescent="0.35">
      <c r="A127" s="13"/>
      <c r="B127" s="132" t="s">
        <v>96</v>
      </c>
      <c r="C127" s="132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224" t="s">
        <v>97</v>
      </c>
      <c r="B133" s="225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1510.1834061286104</v>
      </c>
    </row>
    <row r="135" spans="1:3" x14ac:dyDescent="0.3">
      <c r="A135" s="221" t="s">
        <v>99</v>
      </c>
      <c r="B135" s="222"/>
      <c r="C135" s="49">
        <f>C133+C134</f>
        <v>6709.3757567684825</v>
      </c>
    </row>
    <row r="136" spans="1:3" x14ac:dyDescent="0.3">
      <c r="A136" s="218" t="s">
        <v>118</v>
      </c>
      <c r="B136" s="219"/>
      <c r="C136" s="51">
        <v>2</v>
      </c>
    </row>
    <row r="137" spans="1:3" ht="16.2" thickBot="1" x14ac:dyDescent="0.35">
      <c r="A137" s="220" t="s">
        <v>119</v>
      </c>
      <c r="B137" s="220"/>
      <c r="C137" s="50">
        <f>C135*C136</f>
        <v>13418.751513536965</v>
      </c>
    </row>
  </sheetData>
  <sheetProtection password="F668" sheet="1" objects="1" scenarios="1"/>
  <mergeCells count="35">
    <mergeCell ref="A125:C125"/>
    <mergeCell ref="A133:B133"/>
    <mergeCell ref="A135:B135"/>
    <mergeCell ref="A136:B136"/>
    <mergeCell ref="A137:B137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workbookViewId="0">
      <selection activeCell="C49" sqref="C4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231" t="s">
        <v>100</v>
      </c>
      <c r="B1" s="231"/>
      <c r="C1" s="231"/>
      <c r="D1" s="231"/>
    </row>
    <row r="2" spans="1:5" ht="22.8" x14ac:dyDescent="0.4">
      <c r="A2" s="231" t="s">
        <v>101</v>
      </c>
      <c r="B2" s="231"/>
      <c r="C2" s="231"/>
      <c r="D2" s="231"/>
    </row>
    <row r="3" spans="1:5" x14ac:dyDescent="0.3">
      <c r="A3" s="235"/>
      <c r="B3" s="235"/>
      <c r="C3" s="235"/>
      <c r="D3" s="235"/>
    </row>
    <row r="4" spans="1:5" x14ac:dyDescent="0.3">
      <c r="A4" s="32" t="s">
        <v>109</v>
      </c>
      <c r="B4" s="236" t="s">
        <v>163</v>
      </c>
      <c r="C4" s="237"/>
    </row>
    <row r="5" spans="1:5" x14ac:dyDescent="0.3">
      <c r="A5" s="32" t="s">
        <v>110</v>
      </c>
      <c r="B5" s="236" t="s">
        <v>151</v>
      </c>
      <c r="C5" s="237"/>
      <c r="E5" s="53"/>
    </row>
    <row r="6" spans="1:5" x14ac:dyDescent="0.3">
      <c r="A6" s="32"/>
      <c r="B6" s="236"/>
      <c r="C6" s="237"/>
    </row>
    <row r="7" spans="1:5" x14ac:dyDescent="0.3">
      <c r="A7" s="234" t="s">
        <v>35</v>
      </c>
      <c r="B7" s="234"/>
      <c r="C7" s="234"/>
    </row>
    <row r="8" spans="1:5" ht="16.2" thickBot="1" x14ac:dyDescent="0.35"/>
    <row r="9" spans="1:5" ht="16.2" thickBot="1" x14ac:dyDescent="0.35">
      <c r="A9" s="13">
        <v>1</v>
      </c>
      <c r="B9" s="132" t="s">
        <v>36</v>
      </c>
      <c r="C9" s="132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232" t="s">
        <v>5</v>
      </c>
      <c r="B14" s="233"/>
      <c r="C14" s="39">
        <f>SUM(C10:C13)</f>
        <v>2830.7836837090913</v>
      </c>
    </row>
    <row r="17" spans="1:4" x14ac:dyDescent="0.3">
      <c r="A17" s="223" t="s">
        <v>48</v>
      </c>
      <c r="B17" s="223"/>
      <c r="C17" s="223"/>
    </row>
    <row r="18" spans="1:4" x14ac:dyDescent="0.3">
      <c r="A18" s="12"/>
    </row>
    <row r="19" spans="1:4" x14ac:dyDescent="0.3">
      <c r="A19" s="226" t="s">
        <v>49</v>
      </c>
      <c r="B19" s="226"/>
      <c r="C19" s="226"/>
    </row>
    <row r="20" spans="1:4" ht="16.2" thickBot="1" x14ac:dyDescent="0.35"/>
    <row r="21" spans="1:4" ht="16.2" thickBot="1" x14ac:dyDescent="0.35">
      <c r="A21" s="13" t="s">
        <v>50</v>
      </c>
      <c r="B21" s="132" t="s">
        <v>51</v>
      </c>
      <c r="C21" s="132" t="s">
        <v>57</v>
      </c>
      <c r="D21" s="132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 ISS 2%'!C20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 ISS 2%'!C21</f>
        <v>0.121</v>
      </c>
      <c r="D23" s="38">
        <f>C$14*C23</f>
        <v>342.52482572880001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578.32910658176729</v>
      </c>
    </row>
    <row r="27" spans="1:4" x14ac:dyDescent="0.3">
      <c r="A27" s="229" t="s">
        <v>54</v>
      </c>
      <c r="B27" s="229"/>
      <c r="C27" s="229"/>
      <c r="D27" s="229"/>
    </row>
    <row r="28" spans="1:4" ht="16.2" thickBot="1" x14ac:dyDescent="0.35"/>
    <row r="29" spans="1:4" ht="16.2" thickBot="1" x14ac:dyDescent="0.35">
      <c r="A29" s="13" t="s">
        <v>55</v>
      </c>
      <c r="B29" s="132" t="s">
        <v>56</v>
      </c>
      <c r="C29" s="132" t="s">
        <v>57</v>
      </c>
      <c r="D29" s="132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 ISS 2%'!C28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 ISS 2%'!C29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 ISS 2%'!C30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 ISS 2%'!C31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 ISS 2%'!C32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 ISS 2%'!C33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 ISS 2%'!C34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 ISS 2%'!C35</f>
        <v>0.08</v>
      </c>
      <c r="D37" s="38">
        <f t="shared" si="0"/>
        <v>272.72902322326865</v>
      </c>
    </row>
    <row r="38" spans="1:4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226" t="s">
        <v>65</v>
      </c>
      <c r="B41" s="226"/>
      <c r="C41" s="226"/>
    </row>
    <row r="42" spans="1:4" ht="16.2" thickBot="1" x14ac:dyDescent="0.35"/>
    <row r="43" spans="1:4" ht="16.2" thickBot="1" x14ac:dyDescent="0.35">
      <c r="A43" s="13" t="s">
        <v>66</v>
      </c>
      <c r="B43" s="132" t="s">
        <v>67</v>
      </c>
      <c r="C43" s="132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 ISS 2%'!C42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 ISS 2%'!C43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7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 ISS 2%'!C45</f>
        <v>161.0915</v>
      </c>
    </row>
    <row r="48" spans="1:4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232" t="s">
        <v>5</v>
      </c>
      <c r="B49" s="233"/>
      <c r="C49" s="23">
        <f>SUM(C44:C48)</f>
        <v>618.3035440000001</v>
      </c>
    </row>
    <row r="52" spans="1:4" x14ac:dyDescent="0.3">
      <c r="A52" s="226" t="s">
        <v>69</v>
      </c>
      <c r="B52" s="226"/>
      <c r="C52" s="226"/>
    </row>
    <row r="53" spans="1:4" ht="16.2" thickBot="1" x14ac:dyDescent="0.35"/>
    <row r="54" spans="1:4" ht="16.2" thickBot="1" x14ac:dyDescent="0.35">
      <c r="A54" s="13">
        <v>2</v>
      </c>
      <c r="B54" s="132" t="s">
        <v>70</v>
      </c>
      <c r="C54" s="132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224" t="s">
        <v>5</v>
      </c>
      <c r="B58" s="225"/>
      <c r="C58" s="23">
        <f>SUM(C55:C57)</f>
        <v>2451.1861574088034</v>
      </c>
    </row>
    <row r="59" spans="1:4" x14ac:dyDescent="0.3">
      <c r="A59" s="2"/>
    </row>
    <row r="61" spans="1:4" x14ac:dyDescent="0.3">
      <c r="A61" s="223" t="s">
        <v>71</v>
      </c>
      <c r="B61" s="223"/>
      <c r="C61" s="223"/>
    </row>
    <row r="62" spans="1:4" ht="16.2" thickBot="1" x14ac:dyDescent="0.35"/>
    <row r="63" spans="1:4" ht="16.2" thickBot="1" x14ac:dyDescent="0.35">
      <c r="A63" s="13">
        <v>3</v>
      </c>
      <c r="B63" s="132" t="s">
        <v>72</v>
      </c>
      <c r="C63" s="132" t="s">
        <v>57</v>
      </c>
      <c r="D63" s="132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 ISS 2%'!C62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 ISS 2%'!C63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 ISS 2%'!C64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 ISS 2%'!C65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 ISS 2%'!C66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 ISS 2%'!C67</f>
        <v>3.6400000000000002E-2</v>
      </c>
      <c r="D69" s="23">
        <f t="shared" si="1"/>
        <v>103.04052608701093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223" t="s">
        <v>79</v>
      </c>
      <c r="B73" s="223"/>
      <c r="C73" s="223"/>
    </row>
    <row r="76" spans="1:4" x14ac:dyDescent="0.3">
      <c r="A76" s="226" t="s">
        <v>80</v>
      </c>
      <c r="B76" s="226"/>
      <c r="C76" s="226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32" t="s">
        <v>82</v>
      </c>
      <c r="C78" s="132" t="s">
        <v>57</v>
      </c>
      <c r="D78" s="132" t="s">
        <v>37</v>
      </c>
    </row>
    <row r="79" spans="1:4" ht="16.2" thickBot="1" x14ac:dyDescent="0.35">
      <c r="A79" s="15" t="s">
        <v>38</v>
      </c>
      <c r="B79" s="16" t="s">
        <v>164</v>
      </c>
      <c r="C79" s="37">
        <f>'Posto 12x36 diurno ISS 2%'!C77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1">
        <f>'Posto 12x36 diurno ISS 2%'!C78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1">
        <f>'Posto 12x36 diurno ISS 2%'!C79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1">
        <f>'Posto 12x36 diurno ISS 2%'!C80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1">
        <f>'Posto 12x36 diurno ISS 2%'!C81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0" t="s">
        <v>47</v>
      </c>
      <c r="C84" s="121">
        <f>'Posto 12x36 diurno ISS 2%'!C82</f>
        <v>0</v>
      </c>
      <c r="D84" s="23">
        <f t="shared" si="2"/>
        <v>0</v>
      </c>
    </row>
    <row r="85" spans="1:5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226" t="s">
        <v>86</v>
      </c>
      <c r="B88" s="226"/>
      <c r="C88" s="226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132" t="s">
        <v>129</v>
      </c>
      <c r="C90" s="132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224" t="s">
        <v>5</v>
      </c>
      <c r="B92" s="225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226" t="s">
        <v>89</v>
      </c>
      <c r="B95" s="226"/>
      <c r="C95" s="226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132" t="s">
        <v>90</v>
      </c>
      <c r="C97" s="132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224" t="s">
        <v>5</v>
      </c>
      <c r="B100" s="225"/>
      <c r="C100" s="39">
        <f>C98+C99</f>
        <v>308.13768684793945</v>
      </c>
    </row>
    <row r="103" spans="1:3" x14ac:dyDescent="0.3">
      <c r="A103" s="223" t="s">
        <v>91</v>
      </c>
      <c r="B103" s="223"/>
      <c r="C103" s="223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32" t="s">
        <v>37</v>
      </c>
    </row>
    <row r="106" spans="1:3" ht="16.2" thickBot="1" x14ac:dyDescent="0.35">
      <c r="A106" s="15" t="s">
        <v>38</v>
      </c>
      <c r="B106" s="16" t="s">
        <v>92</v>
      </c>
      <c r="C106" s="117">
        <f>'Planilha de Apoio - P 12 x 36'!C39</f>
        <v>60</v>
      </c>
    </row>
    <row r="107" spans="1:3" ht="16.2" thickBot="1" x14ac:dyDescent="0.35">
      <c r="A107" s="15" t="s">
        <v>40</v>
      </c>
      <c r="B107" s="16" t="s">
        <v>93</v>
      </c>
      <c r="C107" s="117">
        <f>'Planilha de Apoio - P 12 x 36'!D27</f>
        <v>0</v>
      </c>
    </row>
    <row r="108" spans="1:3" ht="16.2" thickBot="1" x14ac:dyDescent="0.35">
      <c r="A108" s="15" t="s">
        <v>41</v>
      </c>
      <c r="B108" s="120" t="s">
        <v>146</v>
      </c>
      <c r="C108" s="117"/>
    </row>
    <row r="109" spans="1:3" ht="16.2" thickBot="1" x14ac:dyDescent="0.35">
      <c r="A109" s="15" t="s">
        <v>42</v>
      </c>
      <c r="B109" s="120" t="s">
        <v>146</v>
      </c>
      <c r="C109" s="117"/>
    </row>
    <row r="110" spans="1:3" ht="16.2" thickBot="1" x14ac:dyDescent="0.35">
      <c r="A110" s="224" t="s">
        <v>64</v>
      </c>
      <c r="B110" s="225"/>
      <c r="C110" s="23">
        <f>SUM(C106:C109)</f>
        <v>60</v>
      </c>
    </row>
    <row r="113" spans="1:4" x14ac:dyDescent="0.3">
      <c r="A113" s="223" t="s">
        <v>94</v>
      </c>
      <c r="B113" s="223"/>
      <c r="C113" s="223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32" t="s">
        <v>57</v>
      </c>
      <c r="D115" s="132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0.03</v>
      </c>
      <c r="D123" s="45">
        <f>C123*(C$135+D$116+D$117)</f>
        <v>212.4024094132516</v>
      </c>
    </row>
    <row r="124" spans="1:4" ht="16.2" thickBot="1" x14ac:dyDescent="0.35">
      <c r="A124" s="227" t="s">
        <v>64</v>
      </c>
      <c r="B124" s="228"/>
      <c r="C124" s="44">
        <f>C116+C117+C119+C122+C123</f>
        <v>0.26650000000000001</v>
      </c>
      <c r="D124" s="45">
        <f>D116+D117+D119+D122+D123</f>
        <v>1699.5996101989017</v>
      </c>
    </row>
    <row r="127" spans="1:4" x14ac:dyDescent="0.3">
      <c r="A127" s="223" t="s">
        <v>95</v>
      </c>
      <c r="B127" s="223"/>
      <c r="C127" s="223"/>
    </row>
    <row r="128" spans="1:4" ht="16.2" thickBot="1" x14ac:dyDescent="0.35"/>
    <row r="129" spans="1:3" ht="16.2" thickBot="1" x14ac:dyDescent="0.35">
      <c r="A129" s="13"/>
      <c r="B129" s="132" t="s">
        <v>96</v>
      </c>
      <c r="C129" s="132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2" thickBot="1" x14ac:dyDescent="0.35">
      <c r="A135" s="224" t="s">
        <v>97</v>
      </c>
      <c r="B135" s="225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1699.5996101989017</v>
      </c>
    </row>
    <row r="137" spans="1:3" x14ac:dyDescent="0.3">
      <c r="A137" s="221" t="s">
        <v>99</v>
      </c>
      <c r="B137" s="222"/>
      <c r="C137" s="49">
        <f>C135+C136</f>
        <v>7550.9056546410957</v>
      </c>
    </row>
    <row r="138" spans="1:3" x14ac:dyDescent="0.3">
      <c r="A138" s="218" t="s">
        <v>118</v>
      </c>
      <c r="B138" s="219"/>
      <c r="C138" s="51">
        <v>2</v>
      </c>
    </row>
    <row r="139" spans="1:3" ht="16.2" thickBot="1" x14ac:dyDescent="0.35">
      <c r="A139" s="220" t="s">
        <v>119</v>
      </c>
      <c r="B139" s="220"/>
      <c r="C139" s="50">
        <f>C137*C138</f>
        <v>15101.811309282191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C24" sqref="C24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152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5</v>
      </c>
      <c r="C6" s="1">
        <v>2</v>
      </c>
      <c r="D6" s="48">
        <v>15.22</v>
      </c>
      <c r="E6" s="85">
        <f t="shared" ref="E6" si="0">B6*C6*D6</f>
        <v>152.20000000000002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156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89">
        <f>B14-C14</f>
        <v>41.466400000000021</v>
      </c>
      <c r="E14" s="90"/>
    </row>
    <row r="15" spans="1:5" ht="16.2" thickBot="1" x14ac:dyDescent="0.35">
      <c r="C15" s="91"/>
      <c r="D15" s="89"/>
    </row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">
        <v>152</v>
      </c>
      <c r="B17" s="251"/>
      <c r="C17" s="251"/>
      <c r="D17" s="252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15.22</v>
      </c>
      <c r="D19" s="85">
        <f>(B19*C19)</f>
        <v>488.71420000000001</v>
      </c>
      <c r="E19" s="96"/>
    </row>
    <row r="20" spans="1:5" ht="16.2" thickBot="1" x14ac:dyDescent="0.35">
      <c r="A20" s="253" t="s">
        <v>117</v>
      </c>
      <c r="B20" s="255"/>
      <c r="C20" s="4">
        <v>0.18</v>
      </c>
      <c r="D20" s="85">
        <f>((B19*C19)*C20)</f>
        <v>87.968555999999992</v>
      </c>
    </row>
    <row r="21" spans="1:5" ht="15.6" x14ac:dyDescent="0.3">
      <c r="A21" s="253" t="s">
        <v>155</v>
      </c>
      <c r="B21" s="254"/>
      <c r="C21" s="255"/>
      <c r="D21" s="97">
        <f>D19-D20</f>
        <v>400.74564400000003</v>
      </c>
    </row>
    <row r="22" spans="1:5" ht="15.6" x14ac:dyDescent="0.3">
      <c r="A22" s="76"/>
      <c r="B22" s="98"/>
      <c r="C22" s="77"/>
      <c r="D22" s="99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27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76" workbookViewId="0">
      <selection activeCell="B82" sqref="B8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31" t="s">
        <v>100</v>
      </c>
      <c r="B1" s="231"/>
      <c r="C1" s="231"/>
      <c r="D1" s="231"/>
    </row>
    <row r="2" spans="1:6" ht="22.8" x14ac:dyDescent="0.4">
      <c r="A2" s="231" t="s">
        <v>101</v>
      </c>
      <c r="B2" s="231"/>
      <c r="C2" s="231"/>
      <c r="D2" s="231"/>
    </row>
    <row r="3" spans="1:6" x14ac:dyDescent="0.3">
      <c r="A3" s="235"/>
      <c r="B3" s="235"/>
      <c r="C3" s="235"/>
      <c r="D3" s="235"/>
    </row>
    <row r="4" spans="1:6" x14ac:dyDescent="0.3">
      <c r="A4" s="32" t="s">
        <v>109</v>
      </c>
      <c r="B4" s="230" t="s">
        <v>163</v>
      </c>
      <c r="C4" s="230"/>
    </row>
    <row r="5" spans="1:6" x14ac:dyDescent="0.3">
      <c r="A5" s="32" t="s">
        <v>110</v>
      </c>
      <c r="B5" s="230" t="s">
        <v>166</v>
      </c>
      <c r="C5" s="230"/>
      <c r="E5" s="53"/>
    </row>
    <row r="6" spans="1:6" x14ac:dyDescent="0.3">
      <c r="A6" s="32"/>
      <c r="B6" s="230"/>
      <c r="C6" s="230"/>
    </row>
    <row r="7" spans="1:6" x14ac:dyDescent="0.3">
      <c r="A7" s="234" t="s">
        <v>35</v>
      </c>
      <c r="B7" s="234"/>
      <c r="C7" s="234"/>
      <c r="D7" s="79"/>
      <c r="E7" s="79"/>
      <c r="F7" s="79"/>
    </row>
    <row r="8" spans="1:6" ht="16.2" thickBot="1" x14ac:dyDescent="0.35">
      <c r="D8" s="79"/>
      <c r="E8" s="79"/>
      <c r="F8" s="79"/>
    </row>
    <row r="9" spans="1:6" ht="16.2" thickBot="1" x14ac:dyDescent="0.35">
      <c r="A9" s="13">
        <v>1</v>
      </c>
      <c r="B9" s="126" t="s">
        <v>36</v>
      </c>
      <c r="C9" s="126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168</v>
      </c>
      <c r="C12" s="23">
        <f>C10*12%</f>
        <v>221.46719999999999</v>
      </c>
      <c r="D12" s="72"/>
      <c r="E12" s="70">
        <f>E11+E10</f>
        <v>13.086698181818182</v>
      </c>
      <c r="F12" s="79"/>
    </row>
    <row r="13" spans="1:6" ht="16.2" thickBot="1" x14ac:dyDescent="0.35">
      <c r="A13" s="232" t="s">
        <v>5</v>
      </c>
      <c r="B13" s="233"/>
      <c r="C13" s="39">
        <f>SUM(C10:C12)</f>
        <v>2620.6952000000001</v>
      </c>
      <c r="D13" s="79"/>
      <c r="E13" s="79"/>
      <c r="F13" s="79"/>
    </row>
    <row r="16" spans="1:6" x14ac:dyDescent="0.3">
      <c r="A16" s="223" t="s">
        <v>48</v>
      </c>
      <c r="B16" s="223"/>
      <c r="C16" s="223"/>
    </row>
    <row r="17" spans="1:4" x14ac:dyDescent="0.3">
      <c r="A17" s="12"/>
    </row>
    <row r="18" spans="1:4" x14ac:dyDescent="0.3">
      <c r="A18" s="226" t="s">
        <v>49</v>
      </c>
      <c r="B18" s="226"/>
      <c r="C18" s="226"/>
    </row>
    <row r="19" spans="1:4" ht="16.2" thickBot="1" x14ac:dyDescent="0.35"/>
    <row r="20" spans="1:4" ht="16.2" thickBot="1" x14ac:dyDescent="0.35">
      <c r="A20" s="13" t="s">
        <v>50</v>
      </c>
      <c r="B20" s="126" t="s">
        <v>51</v>
      </c>
      <c r="C20" s="126" t="s">
        <v>57</v>
      </c>
      <c r="D20" s="126" t="s">
        <v>37</v>
      </c>
    </row>
    <row r="21" spans="1:4" ht="16.2" thickBot="1" x14ac:dyDescent="0.35">
      <c r="A21" s="15" t="s">
        <v>38</v>
      </c>
      <c r="B21" s="35" t="s">
        <v>52</v>
      </c>
      <c r="C21" s="31">
        <v>8.3299999999999999E-2</v>
      </c>
      <c r="D21" s="36">
        <f>C$13*C21</f>
        <v>218.30391016000002</v>
      </c>
    </row>
    <row r="22" spans="1:4" ht="15.75" customHeight="1" thickBot="1" x14ac:dyDescent="0.35">
      <c r="A22" s="15" t="s">
        <v>40</v>
      </c>
      <c r="B22" s="33" t="s">
        <v>53</v>
      </c>
      <c r="C22" s="37">
        <v>0.121</v>
      </c>
      <c r="D22" s="38">
        <f>C$13*C22</f>
        <v>317.10411920000001</v>
      </c>
    </row>
    <row r="23" spans="1:4" ht="16.2" thickBot="1" x14ac:dyDescent="0.35">
      <c r="A23" s="224" t="s">
        <v>5</v>
      </c>
      <c r="B23" s="225"/>
      <c r="C23" s="40">
        <f>SUM(C21:C22)</f>
        <v>0.20429999999999998</v>
      </c>
      <c r="D23" s="41">
        <f>C$13*C23</f>
        <v>535.40802936</v>
      </c>
    </row>
    <row r="26" spans="1:4" x14ac:dyDescent="0.3">
      <c r="A26" s="229" t="s">
        <v>54</v>
      </c>
      <c r="B26" s="229"/>
      <c r="C26" s="229"/>
      <c r="D26" s="229"/>
    </row>
    <row r="27" spans="1:4" ht="16.2" thickBot="1" x14ac:dyDescent="0.35"/>
    <row r="28" spans="1:4" ht="16.2" thickBot="1" x14ac:dyDescent="0.35">
      <c r="A28" s="13" t="s">
        <v>55</v>
      </c>
      <c r="B28" s="126" t="s">
        <v>56</v>
      </c>
      <c r="C28" s="126" t="s">
        <v>57</v>
      </c>
      <c r="D28" s="126" t="s">
        <v>37</v>
      </c>
    </row>
    <row r="29" spans="1:4" ht="16.2" thickBot="1" x14ac:dyDescent="0.35">
      <c r="A29" s="15" t="s">
        <v>38</v>
      </c>
      <c r="B29" s="16" t="s">
        <v>58</v>
      </c>
      <c r="C29" s="17">
        <v>0.2</v>
      </c>
      <c r="D29" s="38">
        <f t="shared" ref="D29:D37" si="0">(D$23+C$13)*C29</f>
        <v>631.22064587200009</v>
      </c>
    </row>
    <row r="30" spans="1:4" ht="16.2" thickBot="1" x14ac:dyDescent="0.35">
      <c r="A30" s="15" t="s">
        <v>40</v>
      </c>
      <c r="B30" s="16" t="s">
        <v>59</v>
      </c>
      <c r="C30" s="17">
        <v>2.5000000000000001E-2</v>
      </c>
      <c r="D30" s="38">
        <f t="shared" si="0"/>
        <v>78.902580734000011</v>
      </c>
    </row>
    <row r="31" spans="1:4" ht="16.2" thickBot="1" x14ac:dyDescent="0.35">
      <c r="A31" s="15" t="s">
        <v>41</v>
      </c>
      <c r="B31" s="16" t="s">
        <v>60</v>
      </c>
      <c r="C31" s="115">
        <f>'Posto 12x36 diurno ISS 2%'!C30</f>
        <v>0.03</v>
      </c>
      <c r="D31" s="38">
        <f t="shared" si="0"/>
        <v>94.683096880799994</v>
      </c>
    </row>
    <row r="32" spans="1:4" ht="16.2" thickBot="1" x14ac:dyDescent="0.35">
      <c r="A32" s="15" t="s">
        <v>42</v>
      </c>
      <c r="B32" s="16" t="s">
        <v>61</v>
      </c>
      <c r="C32" s="17">
        <v>1.4999999999999999E-2</v>
      </c>
      <c r="D32" s="38">
        <f t="shared" si="0"/>
        <v>47.341548440399997</v>
      </c>
    </row>
    <row r="33" spans="1:5" ht="16.2" thickBot="1" x14ac:dyDescent="0.35">
      <c r="A33" s="15" t="s">
        <v>43</v>
      </c>
      <c r="B33" s="16" t="s">
        <v>62</v>
      </c>
      <c r="C33" s="17">
        <v>0.01</v>
      </c>
      <c r="D33" s="38">
        <f t="shared" si="0"/>
        <v>31.5610322936</v>
      </c>
    </row>
    <row r="34" spans="1:5" ht="16.2" thickBot="1" x14ac:dyDescent="0.35">
      <c r="A34" s="15" t="s">
        <v>45</v>
      </c>
      <c r="B34" s="16" t="s">
        <v>6</v>
      </c>
      <c r="C34" s="17">
        <v>6.0000000000000001E-3</v>
      </c>
      <c r="D34" s="38">
        <f t="shared" si="0"/>
        <v>18.936619376159999</v>
      </c>
    </row>
    <row r="35" spans="1:5" ht="16.2" thickBot="1" x14ac:dyDescent="0.35">
      <c r="A35" s="15" t="s">
        <v>46</v>
      </c>
      <c r="B35" s="16" t="s">
        <v>7</v>
      </c>
      <c r="C35" s="17">
        <v>2E-3</v>
      </c>
      <c r="D35" s="38">
        <f t="shared" si="0"/>
        <v>6.3122064587200004</v>
      </c>
    </row>
    <row r="36" spans="1:5" ht="16.2" thickBot="1" x14ac:dyDescent="0.35">
      <c r="A36" s="15" t="s">
        <v>63</v>
      </c>
      <c r="B36" s="16" t="s">
        <v>8</v>
      </c>
      <c r="C36" s="17">
        <v>0.08</v>
      </c>
      <c r="D36" s="38">
        <f t="shared" si="0"/>
        <v>252.4882583488</v>
      </c>
    </row>
    <row r="37" spans="1:5" ht="16.2" thickBot="1" x14ac:dyDescent="0.35">
      <c r="A37" s="224" t="s">
        <v>64</v>
      </c>
      <c r="B37" s="225"/>
      <c r="C37" s="17">
        <f>SUM(C29:C36)</f>
        <v>0.36800000000000005</v>
      </c>
      <c r="D37" s="38">
        <f t="shared" si="0"/>
        <v>1161.4459884044802</v>
      </c>
      <c r="E37" s="68">
        <f>C37*C23</f>
        <v>7.5182399999999996E-2</v>
      </c>
    </row>
    <row r="40" spans="1:5" x14ac:dyDescent="0.3">
      <c r="A40" s="226" t="s">
        <v>65</v>
      </c>
      <c r="B40" s="226"/>
      <c r="C40" s="226"/>
    </row>
    <row r="41" spans="1:5" ht="16.2" thickBot="1" x14ac:dyDescent="0.35"/>
    <row r="42" spans="1:5" ht="16.2" thickBot="1" x14ac:dyDescent="0.35">
      <c r="A42" s="13" t="s">
        <v>66</v>
      </c>
      <c r="B42" s="126" t="s">
        <v>67</v>
      </c>
      <c r="C42" s="126" t="s">
        <v>37</v>
      </c>
    </row>
    <row r="43" spans="1:5" ht="16.2" thickBot="1" x14ac:dyDescent="0.35">
      <c r="A43" s="15" t="s">
        <v>38</v>
      </c>
      <c r="B43" s="16" t="s">
        <v>68</v>
      </c>
      <c r="C43" s="25">
        <f>'Planilha de Apoio Sede Líder'!D14</f>
        <v>109.2664</v>
      </c>
    </row>
    <row r="44" spans="1:5" ht="16.2" thickBot="1" x14ac:dyDescent="0.35">
      <c r="A44" s="15" t="s">
        <v>40</v>
      </c>
      <c r="B44" s="16" t="s">
        <v>111</v>
      </c>
      <c r="C44" s="23">
        <f>'Planilha de Apoio Sede Líder'!D21</f>
        <v>579.26440000000002</v>
      </c>
    </row>
    <row r="45" spans="1:5" ht="16.2" thickBot="1" x14ac:dyDescent="0.35">
      <c r="A45" s="15" t="s">
        <v>41</v>
      </c>
      <c r="B45" s="16" t="s">
        <v>127</v>
      </c>
      <c r="C45" s="117">
        <v>15</v>
      </c>
    </row>
    <row r="46" spans="1:5" ht="16.2" thickBot="1" x14ac:dyDescent="0.35">
      <c r="A46" s="46" t="s">
        <v>42</v>
      </c>
      <c r="B46" s="34" t="s">
        <v>144</v>
      </c>
      <c r="C46" s="23">
        <f>'Planilha de Apoio Sede Líder'!D25</f>
        <v>161.0915</v>
      </c>
    </row>
    <row r="47" spans="1:5" ht="16.2" thickBot="1" x14ac:dyDescent="0.35">
      <c r="A47" s="46" t="s">
        <v>43</v>
      </c>
      <c r="B47" s="118" t="s">
        <v>145</v>
      </c>
      <c r="C47" s="117"/>
    </row>
    <row r="48" spans="1:5" ht="16.2" thickBot="1" x14ac:dyDescent="0.35">
      <c r="A48" s="232" t="s">
        <v>5</v>
      </c>
      <c r="B48" s="233"/>
      <c r="C48" s="23">
        <f>SUM(C43:C47)</f>
        <v>864.6223</v>
      </c>
    </row>
    <row r="51" spans="1:4" x14ac:dyDescent="0.3">
      <c r="A51" s="226" t="s">
        <v>69</v>
      </c>
      <c r="B51" s="226"/>
      <c r="C51" s="226"/>
    </row>
    <row r="52" spans="1:4" ht="16.2" thickBot="1" x14ac:dyDescent="0.35"/>
    <row r="53" spans="1:4" ht="16.2" thickBot="1" x14ac:dyDescent="0.35">
      <c r="A53" s="13">
        <v>2</v>
      </c>
      <c r="B53" s="126" t="s">
        <v>70</v>
      </c>
      <c r="C53" s="126" t="s">
        <v>37</v>
      </c>
    </row>
    <row r="54" spans="1:4" ht="16.2" thickBot="1" x14ac:dyDescent="0.35">
      <c r="A54" s="15" t="s">
        <v>50</v>
      </c>
      <c r="B54" s="16" t="s">
        <v>51</v>
      </c>
      <c r="C54" s="23">
        <f>D23</f>
        <v>535.40802936</v>
      </c>
    </row>
    <row r="55" spans="1:4" ht="16.2" thickBot="1" x14ac:dyDescent="0.35">
      <c r="A55" s="15" t="s">
        <v>55</v>
      </c>
      <c r="B55" s="16" t="s">
        <v>56</v>
      </c>
      <c r="C55" s="23">
        <f>D37</f>
        <v>1161.4459884044802</v>
      </c>
    </row>
    <row r="56" spans="1:4" ht="16.2" thickBot="1" x14ac:dyDescent="0.35">
      <c r="A56" s="15" t="s">
        <v>66</v>
      </c>
      <c r="B56" s="16" t="s">
        <v>67</v>
      </c>
      <c r="C56" s="23">
        <f>C48</f>
        <v>864.6223</v>
      </c>
    </row>
    <row r="57" spans="1:4" ht="16.2" thickBot="1" x14ac:dyDescent="0.35">
      <c r="A57" s="224" t="s">
        <v>5</v>
      </c>
      <c r="B57" s="225"/>
      <c r="C57" s="23">
        <f>SUM(C54:C56)</f>
        <v>2561.47631776448</v>
      </c>
    </row>
    <row r="58" spans="1:4" x14ac:dyDescent="0.3">
      <c r="A58" s="2"/>
    </row>
    <row r="60" spans="1:4" x14ac:dyDescent="0.3">
      <c r="A60" s="223" t="s">
        <v>71</v>
      </c>
      <c r="B60" s="223"/>
      <c r="C60" s="223"/>
    </row>
    <row r="61" spans="1:4" ht="16.2" thickBot="1" x14ac:dyDescent="0.35"/>
    <row r="62" spans="1:4" ht="16.2" thickBot="1" x14ac:dyDescent="0.35">
      <c r="A62" s="13">
        <v>3</v>
      </c>
      <c r="B62" s="126" t="s">
        <v>72</v>
      </c>
      <c r="C62" s="126" t="s">
        <v>57</v>
      </c>
      <c r="D62" s="126" t="s">
        <v>37</v>
      </c>
    </row>
    <row r="63" spans="1:4" ht="16.2" thickBot="1" x14ac:dyDescent="0.35">
      <c r="A63" s="15" t="s">
        <v>38</v>
      </c>
      <c r="B63" s="18" t="s">
        <v>73</v>
      </c>
      <c r="C63" s="28">
        <v>4.1999999999999997E-3</v>
      </c>
      <c r="D63" s="23">
        <f>(C$13)*C63</f>
        <v>11.00691984</v>
      </c>
    </row>
    <row r="64" spans="1:4" ht="16.2" thickBot="1" x14ac:dyDescent="0.35">
      <c r="A64" s="15" t="s">
        <v>40</v>
      </c>
      <c r="B64" s="26" t="s">
        <v>74</v>
      </c>
      <c r="C64" s="29">
        <f>C63*C36</f>
        <v>3.3599999999999998E-4</v>
      </c>
      <c r="D64" s="23">
        <f>(C$13)*C64</f>
        <v>0.88055358719999999</v>
      </c>
    </row>
    <row r="65" spans="1:4" ht="16.2" thickBot="1" x14ac:dyDescent="0.35">
      <c r="A65" s="15" t="s">
        <v>41</v>
      </c>
      <c r="B65" s="18" t="s">
        <v>131</v>
      </c>
      <c r="C65" s="27">
        <v>3.5999999999999999E-3</v>
      </c>
      <c r="D65" s="23">
        <f>C65*C13</f>
        <v>9.4345027199999993</v>
      </c>
    </row>
    <row r="66" spans="1:4" ht="16.2" thickBot="1" x14ac:dyDescent="0.35">
      <c r="A66" s="15" t="s">
        <v>42</v>
      </c>
      <c r="B66" s="18" t="s">
        <v>76</v>
      </c>
      <c r="C66" s="30">
        <v>1.9400000000000001E-2</v>
      </c>
      <c r="D66" s="23">
        <f>(C$13)*C66</f>
        <v>50.841486880000005</v>
      </c>
    </row>
    <row r="67" spans="1:4" ht="16.2" thickBot="1" x14ac:dyDescent="0.35">
      <c r="A67" s="15" t="s">
        <v>43</v>
      </c>
      <c r="B67" s="18" t="s">
        <v>77</v>
      </c>
      <c r="C67" s="27">
        <f>C66*C37</f>
        <v>7.1392000000000009E-3</v>
      </c>
      <c r="D67" s="23">
        <f>C67*C13</f>
        <v>18.709667171840003</v>
      </c>
    </row>
    <row r="68" spans="1:4" ht="16.2" thickBot="1" x14ac:dyDescent="0.35">
      <c r="A68" s="15" t="s">
        <v>45</v>
      </c>
      <c r="B68" s="18" t="s">
        <v>132</v>
      </c>
      <c r="C68" s="27">
        <v>3.6400000000000002E-2</v>
      </c>
      <c r="D68" s="23">
        <f>C68*C13</f>
        <v>95.393305280000007</v>
      </c>
    </row>
    <row r="69" spans="1:4" ht="16.2" thickBot="1" x14ac:dyDescent="0.35">
      <c r="A69" s="224" t="s">
        <v>5</v>
      </c>
      <c r="B69" s="225"/>
      <c r="C69" s="27">
        <f>SUM(C63:C68)</f>
        <v>7.1075200000000005E-2</v>
      </c>
      <c r="D69" s="23">
        <f>SUM(D63:D68)</f>
        <v>186.26643547904001</v>
      </c>
    </row>
    <row r="72" spans="1:4" x14ac:dyDescent="0.3">
      <c r="A72" s="223" t="s">
        <v>79</v>
      </c>
      <c r="B72" s="223"/>
      <c r="C72" s="223"/>
    </row>
    <row r="75" spans="1:4" x14ac:dyDescent="0.3">
      <c r="A75" s="226" t="s">
        <v>80</v>
      </c>
      <c r="B75" s="226"/>
      <c r="C75" s="226"/>
    </row>
    <row r="76" spans="1:4" ht="16.2" thickBot="1" x14ac:dyDescent="0.35">
      <c r="A76" s="12"/>
    </row>
    <row r="77" spans="1:4" ht="16.2" thickBot="1" x14ac:dyDescent="0.35">
      <c r="A77" s="13" t="s">
        <v>81</v>
      </c>
      <c r="B77" s="126" t="s">
        <v>82</v>
      </c>
      <c r="C77" s="126" t="s">
        <v>57</v>
      </c>
      <c r="D77" s="126" t="s">
        <v>37</v>
      </c>
    </row>
    <row r="78" spans="1:4" ht="16.2" thickBot="1" x14ac:dyDescent="0.35">
      <c r="A78" s="15" t="s">
        <v>38</v>
      </c>
      <c r="B78" s="16" t="s">
        <v>130</v>
      </c>
      <c r="C78" s="27">
        <f>1/12/12</f>
        <v>6.9444444444444441E-3</v>
      </c>
      <c r="D78" s="23">
        <f t="shared" ref="D78:D84" si="1">(C$13)*C78</f>
        <v>18.199272222222223</v>
      </c>
    </row>
    <row r="79" spans="1:4" ht="16.2" thickBot="1" x14ac:dyDescent="0.35">
      <c r="A79" s="15" t="s">
        <v>40</v>
      </c>
      <c r="B79" s="16" t="s">
        <v>82</v>
      </c>
      <c r="C79" s="119">
        <v>0.02</v>
      </c>
      <c r="D79" s="23">
        <f t="shared" si="1"/>
        <v>52.413904000000002</v>
      </c>
    </row>
    <row r="80" spans="1:4" ht="16.2" thickBot="1" x14ac:dyDescent="0.35">
      <c r="A80" s="15" t="s">
        <v>41</v>
      </c>
      <c r="B80" s="16" t="s">
        <v>83</v>
      </c>
      <c r="C80" s="119">
        <v>1.4999999999999999E-2</v>
      </c>
      <c r="D80" s="23">
        <f t="shared" si="1"/>
        <v>39.310428000000002</v>
      </c>
    </row>
    <row r="81" spans="1:7" ht="16.2" thickBot="1" x14ac:dyDescent="0.35">
      <c r="A81" s="15" t="s">
        <v>42</v>
      </c>
      <c r="B81" s="16" t="s">
        <v>84</v>
      </c>
      <c r="C81" s="119">
        <v>0.01</v>
      </c>
      <c r="D81" s="23">
        <f t="shared" si="1"/>
        <v>26.206952000000001</v>
      </c>
    </row>
    <row r="82" spans="1:7" ht="16.2" thickBot="1" x14ac:dyDescent="0.35">
      <c r="A82" s="15" t="s">
        <v>43</v>
      </c>
      <c r="B82" s="16" t="s">
        <v>85</v>
      </c>
      <c r="C82" s="119">
        <v>0.01</v>
      </c>
      <c r="D82" s="23">
        <f t="shared" si="1"/>
        <v>26.206952000000001</v>
      </c>
    </row>
    <row r="83" spans="1:7" ht="16.2" thickBot="1" x14ac:dyDescent="0.35">
      <c r="A83" s="15" t="s">
        <v>45</v>
      </c>
      <c r="B83" s="120" t="s">
        <v>47</v>
      </c>
      <c r="C83" s="119">
        <v>0</v>
      </c>
      <c r="D83" s="23">
        <f t="shared" si="1"/>
        <v>0</v>
      </c>
    </row>
    <row r="84" spans="1:7" ht="16.2" thickBot="1" x14ac:dyDescent="0.35">
      <c r="A84" s="224" t="s">
        <v>64</v>
      </c>
      <c r="B84" s="225"/>
      <c r="C84" s="27">
        <f>SUM(C78:C83)</f>
        <v>6.1944444444444448E-2</v>
      </c>
      <c r="D84" s="23">
        <f t="shared" si="1"/>
        <v>162.33750822222223</v>
      </c>
    </row>
    <row r="85" spans="1:7" x14ac:dyDescent="0.3">
      <c r="C85" s="53">
        <f>C23+C37+C69+C84+E37</f>
        <v>0.78050204444444449</v>
      </c>
    </row>
    <row r="87" spans="1:7" x14ac:dyDescent="0.3">
      <c r="A87" s="226" t="s">
        <v>86</v>
      </c>
      <c r="B87" s="226"/>
      <c r="C87" s="226"/>
      <c r="F87" s="73"/>
      <c r="G87" s="73"/>
    </row>
    <row r="88" spans="1:7" ht="16.2" thickBot="1" x14ac:dyDescent="0.35">
      <c r="A88" s="12"/>
      <c r="D88" s="79"/>
      <c r="E88" s="79"/>
      <c r="F88" s="79"/>
      <c r="G88" s="79"/>
    </row>
    <row r="89" spans="1:7" ht="16.2" thickBot="1" x14ac:dyDescent="0.35">
      <c r="A89" s="13" t="s">
        <v>87</v>
      </c>
      <c r="B89" s="126" t="s">
        <v>129</v>
      </c>
      <c r="C89" s="126" t="s">
        <v>37</v>
      </c>
      <c r="D89" s="79"/>
      <c r="E89" s="79"/>
      <c r="F89" s="70">
        <f>C10+C11+C12</f>
        <v>2620.6952000000001</v>
      </c>
      <c r="G89" s="79"/>
    </row>
    <row r="90" spans="1:7" ht="16.2" thickBot="1" x14ac:dyDescent="0.35">
      <c r="A90" s="15" t="s">
        <v>38</v>
      </c>
      <c r="B90" s="16" t="s">
        <v>102</v>
      </c>
      <c r="C90" s="52">
        <f>F92*0.5</f>
        <v>145.04356706909093</v>
      </c>
      <c r="D90" s="79"/>
      <c r="E90" s="79"/>
      <c r="F90" s="70">
        <f>F89/220</f>
        <v>11.912250909090909</v>
      </c>
      <c r="G90" s="79"/>
    </row>
    <row r="91" spans="1:7" ht="16.2" thickBot="1" x14ac:dyDescent="0.35">
      <c r="A91" s="224" t="s">
        <v>5</v>
      </c>
      <c r="B91" s="225"/>
      <c r="C91" s="52">
        <f>C90</f>
        <v>145.04356706909093</v>
      </c>
      <c r="D91" s="79"/>
      <c r="E91" s="79"/>
      <c r="F91" s="70">
        <f>F90*1.6</f>
        <v>19.059601454545454</v>
      </c>
      <c r="G91" s="79"/>
    </row>
    <row r="92" spans="1:7" x14ac:dyDescent="0.3">
      <c r="D92" s="79"/>
      <c r="E92" s="79"/>
      <c r="F92" s="70">
        <f>F91*15.22</f>
        <v>290.08713413818185</v>
      </c>
      <c r="G92" s="79"/>
    </row>
    <row r="93" spans="1:7" x14ac:dyDescent="0.3">
      <c r="D93" s="79"/>
      <c r="E93" s="79"/>
      <c r="F93" s="73"/>
      <c r="G93" s="79"/>
    </row>
    <row r="94" spans="1:7" x14ac:dyDescent="0.3">
      <c r="A94" s="226" t="s">
        <v>89</v>
      </c>
      <c r="B94" s="226"/>
      <c r="C94" s="226"/>
      <c r="D94" s="79"/>
      <c r="E94" s="79"/>
      <c r="F94" s="73"/>
      <c r="G94" s="79"/>
    </row>
    <row r="95" spans="1:7" ht="16.2" thickBot="1" x14ac:dyDescent="0.35">
      <c r="A95" s="12"/>
      <c r="D95" s="79"/>
      <c r="E95" s="79"/>
      <c r="F95" s="79"/>
      <c r="G95" s="79"/>
    </row>
    <row r="96" spans="1:7" ht="16.2" thickBot="1" x14ac:dyDescent="0.35">
      <c r="A96" s="13">
        <v>4</v>
      </c>
      <c r="B96" s="126" t="s">
        <v>90</v>
      </c>
      <c r="C96" s="126" t="s">
        <v>37</v>
      </c>
    </row>
    <row r="97" spans="1:3" ht="16.2" thickBot="1" x14ac:dyDescent="0.35">
      <c r="A97" s="15" t="s">
        <v>81</v>
      </c>
      <c r="B97" s="16" t="s">
        <v>82</v>
      </c>
      <c r="C97" s="23">
        <f>D84</f>
        <v>162.33750822222223</v>
      </c>
    </row>
    <row r="98" spans="1:3" ht="16.2" thickBot="1" x14ac:dyDescent="0.35">
      <c r="A98" s="15" t="s">
        <v>87</v>
      </c>
      <c r="B98" s="16" t="s">
        <v>88</v>
      </c>
      <c r="C98" s="23">
        <f>C91</f>
        <v>145.04356706909093</v>
      </c>
    </row>
    <row r="99" spans="1:3" ht="16.2" thickBot="1" x14ac:dyDescent="0.35">
      <c r="A99" s="224" t="s">
        <v>5</v>
      </c>
      <c r="B99" s="225"/>
      <c r="C99" s="39">
        <f>C97+C98</f>
        <v>307.38107529131315</v>
      </c>
    </row>
    <row r="102" spans="1:3" x14ac:dyDescent="0.3">
      <c r="A102" s="223" t="s">
        <v>91</v>
      </c>
      <c r="B102" s="223"/>
      <c r="C102" s="223"/>
    </row>
    <row r="103" spans="1:3" ht="16.2" thickBot="1" x14ac:dyDescent="0.35"/>
    <row r="104" spans="1:3" ht="16.2" thickBot="1" x14ac:dyDescent="0.35">
      <c r="A104" s="13">
        <v>5</v>
      </c>
      <c r="B104" s="19" t="s">
        <v>22</v>
      </c>
      <c r="C104" s="126" t="s">
        <v>37</v>
      </c>
    </row>
    <row r="105" spans="1:3" ht="16.2" thickBot="1" x14ac:dyDescent="0.35">
      <c r="A105" s="15" t="s">
        <v>38</v>
      </c>
      <c r="B105" s="16" t="s">
        <v>92</v>
      </c>
      <c r="C105" s="117">
        <f>'Planilha de Apoio Sede Líder'!C46</f>
        <v>103.33333333333333</v>
      </c>
    </row>
    <row r="106" spans="1:3" ht="16.2" thickBot="1" x14ac:dyDescent="0.35">
      <c r="A106" s="15" t="s">
        <v>40</v>
      </c>
      <c r="B106" s="16" t="s">
        <v>93</v>
      </c>
      <c r="C106" s="117">
        <f>'Planilha de Apoio Sede Líder'!D34</f>
        <v>72.938749999999999</v>
      </c>
    </row>
    <row r="107" spans="1:3" ht="16.2" thickBot="1" x14ac:dyDescent="0.35">
      <c r="A107" s="15" t="s">
        <v>41</v>
      </c>
      <c r="B107" s="120" t="s">
        <v>146</v>
      </c>
      <c r="C107" s="117"/>
    </row>
    <row r="108" spans="1:3" ht="16.2" thickBot="1" x14ac:dyDescent="0.35">
      <c r="A108" s="15" t="s">
        <v>42</v>
      </c>
      <c r="B108" s="120" t="s">
        <v>146</v>
      </c>
      <c r="C108" s="117"/>
    </row>
    <row r="109" spans="1:3" ht="16.2" thickBot="1" x14ac:dyDescent="0.35">
      <c r="A109" s="224" t="s">
        <v>64</v>
      </c>
      <c r="B109" s="225"/>
      <c r="C109" s="23">
        <f>SUM(C105:C108)</f>
        <v>176.27208333333334</v>
      </c>
    </row>
    <row r="112" spans="1:3" x14ac:dyDescent="0.3">
      <c r="A112" s="223" t="s">
        <v>94</v>
      </c>
      <c r="B112" s="223"/>
      <c r="C112" s="223"/>
    </row>
    <row r="113" spans="1:4" ht="16.2" thickBot="1" x14ac:dyDescent="0.35"/>
    <row r="114" spans="1:4" ht="16.2" thickBot="1" x14ac:dyDescent="0.35">
      <c r="A114" s="13">
        <v>6</v>
      </c>
      <c r="B114" s="19" t="s">
        <v>23</v>
      </c>
      <c r="C114" s="126" t="s">
        <v>57</v>
      </c>
      <c r="D114" s="126" t="s">
        <v>37</v>
      </c>
    </row>
    <row r="115" spans="1:4" ht="16.2" thickBot="1" x14ac:dyDescent="0.35">
      <c r="A115" s="15" t="s">
        <v>38</v>
      </c>
      <c r="B115" s="43" t="s">
        <v>24</v>
      </c>
      <c r="C115" s="116">
        <f>'Posto 12x36 diurno ISS 2%'!C114</f>
        <v>0.1</v>
      </c>
      <c r="D115" s="45">
        <f>C115*C134</f>
        <v>585.2091111868167</v>
      </c>
    </row>
    <row r="116" spans="1:4" ht="16.2" thickBot="1" x14ac:dyDescent="0.35">
      <c r="A116" s="15" t="s">
        <v>40</v>
      </c>
      <c r="B116" s="43" t="s">
        <v>26</v>
      </c>
      <c r="C116" s="116">
        <f>C115</f>
        <v>0.1</v>
      </c>
      <c r="D116" s="45">
        <f>C116*(C134+D115)</f>
        <v>643.73002230549844</v>
      </c>
    </row>
    <row r="117" spans="1:4" ht="16.2" thickBot="1" x14ac:dyDescent="0.35">
      <c r="A117" s="15" t="s">
        <v>41</v>
      </c>
      <c r="B117" s="16" t="s">
        <v>25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106</v>
      </c>
      <c r="C118" s="44">
        <f>C119+C120</f>
        <v>3.6499999999999998E-2</v>
      </c>
      <c r="D118" s="45">
        <f>C118*(C$134+D$115+D$116)</f>
        <v>258.45760395565759</v>
      </c>
    </row>
    <row r="119" spans="1:4" ht="16.2" thickBot="1" x14ac:dyDescent="0.35">
      <c r="A119" s="15"/>
      <c r="B119" s="16" t="s">
        <v>104</v>
      </c>
      <c r="C119" s="17">
        <v>0.03</v>
      </c>
      <c r="D119" s="23">
        <f>C119*(C$134+D$115+D$116)</f>
        <v>212.43090736081444</v>
      </c>
    </row>
    <row r="120" spans="1:4" ht="16.2" thickBot="1" x14ac:dyDescent="0.35">
      <c r="A120" s="15"/>
      <c r="B120" s="16" t="s">
        <v>105</v>
      </c>
      <c r="C120" s="17">
        <v>6.4999999999999997E-3</v>
      </c>
      <c r="D120" s="23">
        <f>C120*(C$134+D$115+D$116)</f>
        <v>46.026696594843131</v>
      </c>
    </row>
    <row r="121" spans="1:4" ht="16.2" thickBot="1" x14ac:dyDescent="0.35">
      <c r="A121" s="15"/>
      <c r="B121" s="43" t="s">
        <v>107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108</v>
      </c>
      <c r="C122" s="44">
        <v>0.02</v>
      </c>
      <c r="D122" s="45">
        <f>C122*(C$134+D$115+D$116)</f>
        <v>141.62060490720964</v>
      </c>
    </row>
    <row r="123" spans="1:4" ht="16.2" thickBot="1" x14ac:dyDescent="0.35">
      <c r="A123" s="227" t="s">
        <v>64</v>
      </c>
      <c r="B123" s="228"/>
      <c r="C123" s="44">
        <f>C115+C116+C118+C121+C122</f>
        <v>0.25650000000000001</v>
      </c>
      <c r="D123" s="45">
        <f>D115+D116+D118+D121+D122</f>
        <v>1629.0173423551823</v>
      </c>
    </row>
    <row r="126" spans="1:4" x14ac:dyDescent="0.3">
      <c r="A126" s="223" t="s">
        <v>95</v>
      </c>
      <c r="B126" s="223"/>
      <c r="C126" s="223"/>
    </row>
    <row r="127" spans="1:4" ht="16.2" thickBot="1" x14ac:dyDescent="0.35"/>
    <row r="128" spans="1:4" ht="16.2" thickBot="1" x14ac:dyDescent="0.35">
      <c r="A128" s="13"/>
      <c r="B128" s="126" t="s">
        <v>96</v>
      </c>
      <c r="C128" s="126" t="s">
        <v>37</v>
      </c>
    </row>
    <row r="129" spans="1:3" ht="16.2" thickBot="1" x14ac:dyDescent="0.35">
      <c r="A129" s="21" t="s">
        <v>38</v>
      </c>
      <c r="B129" s="16" t="s">
        <v>35</v>
      </c>
      <c r="C129" s="42">
        <f>C13</f>
        <v>2620.6952000000001</v>
      </c>
    </row>
    <row r="130" spans="1:3" ht="16.5" customHeight="1" thickBot="1" x14ac:dyDescent="0.35">
      <c r="A130" s="21" t="s">
        <v>40</v>
      </c>
      <c r="B130" s="16" t="s">
        <v>48</v>
      </c>
      <c r="C130" s="42">
        <f>C57</f>
        <v>2561.47631776448</v>
      </c>
    </row>
    <row r="131" spans="1:3" ht="16.2" thickBot="1" x14ac:dyDescent="0.35">
      <c r="A131" s="21" t="s">
        <v>41</v>
      </c>
      <c r="B131" s="16" t="s">
        <v>71</v>
      </c>
      <c r="C131" s="42">
        <f>D69</f>
        <v>186.26643547904001</v>
      </c>
    </row>
    <row r="132" spans="1:3" ht="15.75" customHeight="1" thickBot="1" x14ac:dyDescent="0.35">
      <c r="A132" s="21" t="s">
        <v>42</v>
      </c>
      <c r="B132" s="16" t="s">
        <v>79</v>
      </c>
      <c r="C132" s="42">
        <f>C99</f>
        <v>307.38107529131315</v>
      </c>
    </row>
    <row r="133" spans="1:3" ht="15.75" customHeight="1" thickBot="1" x14ac:dyDescent="0.35">
      <c r="A133" s="21" t="s">
        <v>43</v>
      </c>
      <c r="B133" s="16" t="s">
        <v>91</v>
      </c>
      <c r="C133" s="42">
        <f>C109</f>
        <v>176.27208333333334</v>
      </c>
    </row>
    <row r="134" spans="1:3" ht="16.5" customHeight="1" thickBot="1" x14ac:dyDescent="0.35">
      <c r="A134" s="224" t="s">
        <v>97</v>
      </c>
      <c r="B134" s="225"/>
      <c r="C134" s="42">
        <f>SUM(C129:C133)</f>
        <v>5852.091111868167</v>
      </c>
    </row>
    <row r="135" spans="1:3" ht="16.2" thickBot="1" x14ac:dyDescent="0.35">
      <c r="A135" s="21" t="s">
        <v>45</v>
      </c>
      <c r="B135" s="16" t="s">
        <v>98</v>
      </c>
      <c r="C135" s="42">
        <f>D123</f>
        <v>1629.0173423551823</v>
      </c>
    </row>
    <row r="136" spans="1:3" x14ac:dyDescent="0.3">
      <c r="A136" s="221" t="s">
        <v>99</v>
      </c>
      <c r="B136" s="222"/>
      <c r="C136" s="49">
        <f>C134+C135</f>
        <v>7481.1084542233493</v>
      </c>
    </row>
    <row r="137" spans="1:3" x14ac:dyDescent="0.3">
      <c r="A137" s="218" t="s">
        <v>118</v>
      </c>
      <c r="B137" s="219"/>
      <c r="C137" s="51">
        <v>1</v>
      </c>
    </row>
    <row r="138" spans="1:3" ht="16.2" thickBot="1" x14ac:dyDescent="0.35">
      <c r="A138" s="220" t="s">
        <v>119</v>
      </c>
      <c r="B138" s="220"/>
      <c r="C138" s="50">
        <f>C136*C137</f>
        <v>7481.1084542233493</v>
      </c>
    </row>
  </sheetData>
  <sheetProtection password="F668" sheet="1" objects="1" scenarios="1"/>
  <mergeCells count="35">
    <mergeCell ref="A7:C7"/>
    <mergeCell ref="A1:D1"/>
    <mergeCell ref="A2:D2"/>
    <mergeCell ref="A3:D3"/>
    <mergeCell ref="B4:C4"/>
    <mergeCell ref="B5:C5"/>
    <mergeCell ref="B6:C6"/>
    <mergeCell ref="A84:B84"/>
    <mergeCell ref="A134:B134"/>
    <mergeCell ref="A13:B13"/>
    <mergeCell ref="A16:C16"/>
    <mergeCell ref="A18:C18"/>
    <mergeCell ref="A23:B23"/>
    <mergeCell ref="A26:D26"/>
    <mergeCell ref="A91:B91"/>
    <mergeCell ref="A94:C94"/>
    <mergeCell ref="A99:B99"/>
    <mergeCell ref="A102:C102"/>
    <mergeCell ref="A87:C87"/>
    <mergeCell ref="A37:B37"/>
    <mergeCell ref="A40:C40"/>
    <mergeCell ref="A48:B48"/>
    <mergeCell ref="A51:C51"/>
    <mergeCell ref="A57:B57"/>
    <mergeCell ref="A60:C60"/>
    <mergeCell ref="A69:B69"/>
    <mergeCell ref="A72:C72"/>
    <mergeCell ref="A75:C75"/>
    <mergeCell ref="A138:B138"/>
    <mergeCell ref="A109:B109"/>
    <mergeCell ref="A112:C112"/>
    <mergeCell ref="A123:B123"/>
    <mergeCell ref="A126:C126"/>
    <mergeCell ref="A136:B136"/>
    <mergeCell ref="A137:B137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rowBreaks count="2" manualBreakCount="2">
    <brk id="48" max="3" man="1"/>
    <brk id="92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A12" sqref="A12:D12"/>
    </sheetView>
  </sheetViews>
  <sheetFormatPr defaultColWidth="9.109375" defaultRowHeight="14.4" x14ac:dyDescent="0.3"/>
  <cols>
    <col min="1" max="1" width="23" style="80" bestFit="1" customWidth="1"/>
    <col min="2" max="2" width="23.109375" style="80" customWidth="1"/>
    <col min="3" max="3" width="30.6640625" style="80" customWidth="1"/>
    <col min="4" max="4" width="27.44140625" style="80" customWidth="1"/>
    <col min="5" max="5" width="13.88671875" style="80" customWidth="1"/>
    <col min="6" max="16384" width="9.109375" style="80"/>
  </cols>
  <sheetData>
    <row r="2" spans="1:5" ht="15" thickBot="1" x14ac:dyDescent="0.35"/>
    <row r="3" spans="1:5" ht="16.2" thickBot="1" x14ac:dyDescent="0.35">
      <c r="A3" s="247" t="s">
        <v>13</v>
      </c>
      <c r="B3" s="248"/>
      <c r="C3" s="248"/>
      <c r="D3" s="248"/>
      <c r="E3" s="249"/>
    </row>
    <row r="4" spans="1:5" ht="16.2" thickBot="1" x14ac:dyDescent="0.35">
      <c r="A4" s="247" t="s">
        <v>153</v>
      </c>
      <c r="B4" s="248"/>
      <c r="C4" s="248"/>
      <c r="D4" s="248"/>
      <c r="E4" s="249"/>
    </row>
    <row r="5" spans="1:5" ht="31.8" thickBot="1" x14ac:dyDescent="0.35">
      <c r="A5" s="81" t="s">
        <v>103</v>
      </c>
      <c r="B5" s="82" t="s">
        <v>9</v>
      </c>
      <c r="C5" s="82" t="s">
        <v>10</v>
      </c>
      <c r="D5" s="83" t="s">
        <v>12</v>
      </c>
      <c r="E5" s="84" t="s">
        <v>11</v>
      </c>
    </row>
    <row r="6" spans="1:5" ht="15.6" x14ac:dyDescent="0.3">
      <c r="A6" s="3"/>
      <c r="B6" s="122">
        <v>5</v>
      </c>
      <c r="C6" s="1">
        <v>2</v>
      </c>
      <c r="D6" s="48">
        <v>22</v>
      </c>
      <c r="E6" s="85">
        <f t="shared" ref="E6" si="0">B6*C6*D6</f>
        <v>220</v>
      </c>
    </row>
    <row r="7" spans="1:5" ht="15" thickBot="1" x14ac:dyDescent="0.35">
      <c r="A7" s="86"/>
      <c r="B7" s="87"/>
      <c r="C7" s="87"/>
      <c r="D7" s="87"/>
      <c r="E7" s="88"/>
    </row>
    <row r="8" spans="1:5" ht="16.2" thickBot="1" x14ac:dyDescent="0.35">
      <c r="A8" s="247" t="s">
        <v>17</v>
      </c>
      <c r="B8" s="248"/>
      <c r="C8" s="248"/>
      <c r="D8" s="248"/>
      <c r="E8" s="249"/>
    </row>
    <row r="9" spans="1:5" ht="16.2" thickBot="1" x14ac:dyDescent="0.35">
      <c r="A9" s="81" t="s">
        <v>2</v>
      </c>
      <c r="B9" s="82" t="s">
        <v>0</v>
      </c>
      <c r="C9" s="82" t="s">
        <v>14</v>
      </c>
      <c r="D9" s="82" t="s">
        <v>1</v>
      </c>
      <c r="E9" s="84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5">
        <f t="shared" ref="E10" si="1">B10*C10*D10</f>
        <v>110.7336</v>
      </c>
    </row>
    <row r="11" spans="1:5" ht="16.2" thickBot="1" x14ac:dyDescent="0.35">
      <c r="A11" s="86"/>
      <c r="B11" s="87"/>
      <c r="C11" s="4"/>
      <c r="D11" s="4"/>
      <c r="E11" s="85"/>
    </row>
    <row r="12" spans="1:5" ht="16.2" thickBot="1" x14ac:dyDescent="0.35">
      <c r="A12" s="250" t="s">
        <v>157</v>
      </c>
      <c r="B12" s="251"/>
      <c r="C12" s="251"/>
      <c r="D12" s="252"/>
      <c r="E12" s="88"/>
    </row>
    <row r="13" spans="1:5" ht="16.2" thickBot="1" x14ac:dyDescent="0.35">
      <c r="A13" s="81" t="s">
        <v>2</v>
      </c>
      <c r="B13" s="82" t="s">
        <v>11</v>
      </c>
      <c r="C13" s="82" t="s">
        <v>16</v>
      </c>
      <c r="D13" s="84" t="s">
        <v>18</v>
      </c>
      <c r="E13" s="88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89">
        <f>B14-C14</f>
        <v>109.2664</v>
      </c>
      <c r="E14" s="90"/>
    </row>
    <row r="15" spans="1:5" ht="20.25" customHeight="1" thickBot="1" x14ac:dyDescent="0.35"/>
    <row r="16" spans="1:5" ht="16.2" thickBot="1" x14ac:dyDescent="0.35">
      <c r="A16" s="250" t="s">
        <v>19</v>
      </c>
      <c r="B16" s="251"/>
      <c r="C16" s="251"/>
      <c r="D16" s="252"/>
    </row>
    <row r="17" spans="1:5" ht="16.2" thickBot="1" x14ac:dyDescent="0.35">
      <c r="A17" s="250" t="str">
        <f>A4</f>
        <v>Posto Seg Sab</v>
      </c>
      <c r="B17" s="251"/>
      <c r="C17" s="251"/>
      <c r="D17" s="252"/>
    </row>
    <row r="18" spans="1:5" ht="16.2" thickBot="1" x14ac:dyDescent="0.35">
      <c r="A18" s="92" t="s">
        <v>2</v>
      </c>
      <c r="B18" s="93" t="s">
        <v>20</v>
      </c>
      <c r="C18" s="94" t="s">
        <v>12</v>
      </c>
      <c r="D18" s="95" t="s">
        <v>3</v>
      </c>
    </row>
    <row r="19" spans="1:5" ht="16.2" thickBot="1" x14ac:dyDescent="0.35">
      <c r="A19" s="3"/>
      <c r="B19" s="5">
        <v>32.11</v>
      </c>
      <c r="C19" s="48">
        <v>22</v>
      </c>
      <c r="D19" s="85">
        <f>(B19*C19)</f>
        <v>706.42</v>
      </c>
    </row>
    <row r="20" spans="1:5" ht="16.2" thickBot="1" x14ac:dyDescent="0.35">
      <c r="A20" s="253" t="s">
        <v>117</v>
      </c>
      <c r="B20" s="255"/>
      <c r="C20" s="78">
        <v>0.18</v>
      </c>
      <c r="D20" s="97">
        <f>((B19*C19)*C20)</f>
        <v>127.15559999999999</v>
      </c>
    </row>
    <row r="21" spans="1:5" ht="16.2" thickBot="1" x14ac:dyDescent="0.35">
      <c r="A21" s="260" t="s">
        <v>155</v>
      </c>
      <c r="B21" s="261"/>
      <c r="C21" s="261"/>
      <c r="D21" s="112">
        <f>D19-D20</f>
        <v>579.26440000000002</v>
      </c>
    </row>
    <row r="22" spans="1:5" ht="16.5" customHeight="1" x14ac:dyDescent="0.3">
      <c r="A22" s="74"/>
      <c r="B22" s="113"/>
      <c r="C22" s="75"/>
      <c r="D22" s="114"/>
    </row>
    <row r="23" spans="1:5" ht="16.2" thickBot="1" x14ac:dyDescent="0.35">
      <c r="A23" s="256" t="s">
        <v>128</v>
      </c>
      <c r="B23" s="257"/>
      <c r="C23" s="257"/>
      <c r="D23" s="258"/>
    </row>
    <row r="24" spans="1:5" ht="16.2" thickBot="1" x14ac:dyDescent="0.35">
      <c r="A24" s="92" t="s">
        <v>2</v>
      </c>
      <c r="B24" s="93" t="s">
        <v>113</v>
      </c>
      <c r="C24" s="94" t="s">
        <v>115</v>
      </c>
      <c r="D24" s="95" t="s">
        <v>3</v>
      </c>
      <c r="E24" s="96"/>
    </row>
    <row r="25" spans="1:5" ht="15.6" x14ac:dyDescent="0.3">
      <c r="A25" s="3"/>
      <c r="B25" s="5">
        <v>169.57</v>
      </c>
      <c r="C25" s="48">
        <v>0.05</v>
      </c>
      <c r="D25" s="85">
        <f>B25-(B25*C25)</f>
        <v>161.0915</v>
      </c>
    </row>
    <row r="26" spans="1:5" ht="15.6" x14ac:dyDescent="0.3">
      <c r="A26" s="259" t="s">
        <v>120</v>
      </c>
      <c r="B26" s="259"/>
      <c r="C26" s="259"/>
      <c r="D26" s="259"/>
    </row>
    <row r="27" spans="1:5" ht="15.6" x14ac:dyDescent="0.3">
      <c r="A27" s="259" t="s">
        <v>126</v>
      </c>
      <c r="B27" s="259"/>
      <c r="C27" s="259"/>
      <c r="D27" s="259"/>
    </row>
    <row r="28" spans="1:5" ht="15.6" x14ac:dyDescent="0.3">
      <c r="A28" s="100" t="s">
        <v>2</v>
      </c>
      <c r="B28" s="100" t="s">
        <v>3</v>
      </c>
      <c r="C28" s="101" t="s">
        <v>113</v>
      </c>
      <c r="D28" s="100" t="s">
        <v>149</v>
      </c>
    </row>
    <row r="29" spans="1:5" x14ac:dyDescent="0.3">
      <c r="A29" s="102" t="s">
        <v>121</v>
      </c>
      <c r="B29" s="123">
        <v>120</v>
      </c>
      <c r="C29" s="102">
        <f>B29/12</f>
        <v>10</v>
      </c>
      <c r="D29" s="102">
        <f>C29/2</f>
        <v>5</v>
      </c>
    </row>
    <row r="30" spans="1:5" x14ac:dyDescent="0.3">
      <c r="A30" s="102" t="s">
        <v>122</v>
      </c>
      <c r="B30" s="123">
        <v>34.64</v>
      </c>
      <c r="C30" s="102">
        <f t="shared" ref="C30:C33" si="2">B30/12</f>
        <v>2.8866666666666667</v>
      </c>
      <c r="D30" s="102">
        <f t="shared" ref="D30:D33" si="3">C30/2</f>
        <v>1.4433333333333334</v>
      </c>
    </row>
    <row r="31" spans="1:5" x14ac:dyDescent="0.3">
      <c r="A31" s="102" t="s">
        <v>123</v>
      </c>
      <c r="B31" s="123">
        <v>15.89</v>
      </c>
      <c r="C31" s="102">
        <f t="shared" si="2"/>
        <v>1.3241666666666667</v>
      </c>
      <c r="D31" s="102">
        <f t="shared" si="3"/>
        <v>0.66208333333333336</v>
      </c>
    </row>
    <row r="32" spans="1:5" x14ac:dyDescent="0.3">
      <c r="A32" s="102" t="s">
        <v>124</v>
      </c>
      <c r="B32" s="123">
        <v>80</v>
      </c>
      <c r="C32" s="102">
        <f t="shared" si="2"/>
        <v>6.666666666666667</v>
      </c>
      <c r="D32" s="102">
        <f t="shared" si="3"/>
        <v>3.3333333333333335</v>
      </c>
    </row>
    <row r="33" spans="1:4" x14ac:dyDescent="0.3">
      <c r="A33" s="102" t="s">
        <v>148</v>
      </c>
      <c r="B33" s="123">
        <v>1500</v>
      </c>
      <c r="C33" s="102">
        <f t="shared" si="2"/>
        <v>125</v>
      </c>
      <c r="D33" s="102">
        <f t="shared" si="3"/>
        <v>62.5</v>
      </c>
    </row>
    <row r="34" spans="1:4" x14ac:dyDescent="0.3">
      <c r="A34" s="238" t="s">
        <v>5</v>
      </c>
      <c r="B34" s="239"/>
      <c r="C34" s="240"/>
      <c r="D34" s="102">
        <f>SUM(D29:D33)</f>
        <v>72.938749999999999</v>
      </c>
    </row>
    <row r="35" spans="1:4" ht="16.2" thickBot="1" x14ac:dyDescent="0.35">
      <c r="A35" s="241" t="s">
        <v>150</v>
      </c>
      <c r="B35" s="242"/>
      <c r="C35" s="242"/>
      <c r="D35" s="243"/>
    </row>
    <row r="36" spans="1:4" ht="16.2" thickBot="1" x14ac:dyDescent="0.35">
      <c r="A36" s="103" t="s">
        <v>27</v>
      </c>
      <c r="B36" s="104" t="s">
        <v>28</v>
      </c>
      <c r="C36" s="104" t="s">
        <v>29</v>
      </c>
      <c r="D36" s="105" t="s">
        <v>3</v>
      </c>
    </row>
    <row r="37" spans="1:4" ht="16.2" thickBot="1" x14ac:dyDescent="0.35">
      <c r="A37" s="6" t="s">
        <v>30</v>
      </c>
      <c r="B37" s="7">
        <v>4</v>
      </c>
      <c r="C37" s="124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4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4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4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4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4">
        <v>40</v>
      </c>
      <c r="D42" s="69">
        <f t="shared" si="4"/>
        <v>80</v>
      </c>
    </row>
    <row r="43" spans="1:4" ht="16.2" thickBot="1" x14ac:dyDescent="0.35">
      <c r="A43" s="244" t="s">
        <v>32</v>
      </c>
      <c r="B43" s="245"/>
      <c r="C43" s="246"/>
      <c r="D43" s="106"/>
    </row>
    <row r="44" spans="1:4" ht="16.2" thickBot="1" x14ac:dyDescent="0.35">
      <c r="A44" s="244" t="s">
        <v>33</v>
      </c>
      <c r="B44" s="245"/>
      <c r="C44" s="246"/>
      <c r="D44" s="107"/>
    </row>
    <row r="45" spans="1:4" ht="16.2" thickBot="1" x14ac:dyDescent="0.35">
      <c r="A45" s="108" t="s">
        <v>2</v>
      </c>
      <c r="B45" s="109" t="s">
        <v>21</v>
      </c>
      <c r="C45" s="110" t="s">
        <v>34</v>
      </c>
      <c r="D45" s="107"/>
    </row>
    <row r="46" spans="1:4" ht="15.6" x14ac:dyDescent="0.3">
      <c r="A46" s="3"/>
      <c r="B46" s="11">
        <f>SUM(D37:D42)</f>
        <v>1240</v>
      </c>
      <c r="C46" s="111">
        <f>B46/12</f>
        <v>103.33333333333333</v>
      </c>
      <c r="D46" s="10"/>
    </row>
  </sheetData>
  <sheetProtection password="F668" sheet="1" objects="1" scenarios="1"/>
  <mergeCells count="15"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  <mergeCell ref="A17:D17"/>
    <mergeCell ref="A3:E3"/>
    <mergeCell ref="A4:E4"/>
    <mergeCell ref="A8:E8"/>
    <mergeCell ref="A12:D12"/>
    <mergeCell ref="A16:D1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21" workbookViewId="0">
      <selection activeCell="C49" sqref="C49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231" t="s">
        <v>100</v>
      </c>
      <c r="B1" s="231"/>
      <c r="C1" s="231"/>
      <c r="D1" s="231"/>
    </row>
    <row r="2" spans="1:6" ht="22.8" x14ac:dyDescent="0.4">
      <c r="A2" s="231" t="s">
        <v>101</v>
      </c>
      <c r="B2" s="231"/>
      <c r="C2" s="231"/>
      <c r="D2" s="231"/>
    </row>
    <row r="3" spans="1:6" x14ac:dyDescent="0.3">
      <c r="A3" s="235"/>
      <c r="B3" s="235"/>
      <c r="C3" s="235"/>
      <c r="D3" s="235"/>
    </row>
    <row r="4" spans="1:6" x14ac:dyDescent="0.3">
      <c r="A4" s="32" t="s">
        <v>109</v>
      </c>
      <c r="B4" s="230" t="s">
        <v>163</v>
      </c>
      <c r="C4" s="230"/>
    </row>
    <row r="5" spans="1:6" x14ac:dyDescent="0.3">
      <c r="A5" s="32" t="s">
        <v>110</v>
      </c>
      <c r="B5" s="230" t="s">
        <v>167</v>
      </c>
      <c r="C5" s="230"/>
      <c r="E5" s="53"/>
    </row>
    <row r="6" spans="1:6" x14ac:dyDescent="0.3">
      <c r="A6" s="32"/>
      <c r="B6" s="230"/>
      <c r="C6" s="230"/>
    </row>
    <row r="7" spans="1:6" x14ac:dyDescent="0.3">
      <c r="A7" s="234" t="s">
        <v>35</v>
      </c>
      <c r="B7" s="234"/>
      <c r="C7" s="234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79"/>
      <c r="E9" s="79"/>
      <c r="F9" s="79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79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2.5*4.34</f>
        <v>10.85</v>
      </c>
      <c r="E11" s="70">
        <f>E10*0.2</f>
        <v>2.181116363636364</v>
      </c>
      <c r="F11" s="79"/>
    </row>
    <row r="12" spans="1:6" ht="16.2" thickBot="1" x14ac:dyDescent="0.35">
      <c r="A12" s="15" t="s">
        <v>41</v>
      </c>
      <c r="B12" s="16" t="s">
        <v>4</v>
      </c>
      <c r="C12" s="23">
        <f>D11*E11</f>
        <v>23.665112545454548</v>
      </c>
      <c r="D12" s="72"/>
      <c r="E12" s="70">
        <f>E11+E10</f>
        <v>13.086698181818182</v>
      </c>
      <c r="F12" s="79"/>
    </row>
    <row r="13" spans="1:6" ht="16.2" thickBot="1" x14ac:dyDescent="0.35">
      <c r="A13" s="15" t="s">
        <v>42</v>
      </c>
      <c r="B13" s="16" t="s">
        <v>154</v>
      </c>
      <c r="C13" s="23">
        <f>E12*0.3472</f>
        <v>4.5437016087272726</v>
      </c>
      <c r="D13" s="73">
        <f>1.5*4.34</f>
        <v>6.51</v>
      </c>
      <c r="E13" s="147">
        <f>E10*1.6</f>
        <v>17.448930909090912</v>
      </c>
      <c r="F13" s="79"/>
    </row>
    <row r="14" spans="1:6" ht="16.2" thickBot="1" x14ac:dyDescent="0.35">
      <c r="A14" s="232" t="s">
        <v>5</v>
      </c>
      <c r="B14" s="233"/>
      <c r="C14" s="39">
        <f>SUM(C10:C13)</f>
        <v>2427.4368141541818</v>
      </c>
      <c r="D14" s="73"/>
      <c r="E14" s="73"/>
      <c r="F14" s="79"/>
    </row>
    <row r="15" spans="1:6" x14ac:dyDescent="0.3">
      <c r="D15" s="79"/>
      <c r="E15" s="79"/>
      <c r="F15" s="79"/>
    </row>
    <row r="16" spans="1:6" x14ac:dyDescent="0.3">
      <c r="D16" s="79"/>
      <c r="E16" s="79"/>
      <c r="F16" s="79"/>
    </row>
    <row r="17" spans="1:4" x14ac:dyDescent="0.3">
      <c r="A17" s="223" t="s">
        <v>48</v>
      </c>
      <c r="B17" s="223"/>
      <c r="C17" s="223"/>
    </row>
    <row r="18" spans="1:4" x14ac:dyDescent="0.3">
      <c r="A18" s="12"/>
    </row>
    <row r="19" spans="1:4" x14ac:dyDescent="0.3">
      <c r="A19" s="226" t="s">
        <v>49</v>
      </c>
      <c r="B19" s="226"/>
      <c r="C19" s="226"/>
    </row>
    <row r="20" spans="1:4" ht="16.2" thickBot="1" x14ac:dyDescent="0.35"/>
    <row r="21" spans="1:4" ht="16.2" thickBot="1" x14ac:dyDescent="0.35">
      <c r="A21" s="13" t="s">
        <v>50</v>
      </c>
      <c r="B21" s="55" t="s">
        <v>51</v>
      </c>
      <c r="C21" s="55" t="s">
        <v>57</v>
      </c>
      <c r="D21" s="55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202.20548661904334</v>
      </c>
    </row>
    <row r="23" spans="1:4" ht="16.2" thickBot="1" x14ac:dyDescent="0.35">
      <c r="A23" s="15" t="s">
        <v>40</v>
      </c>
      <c r="B23" s="33" t="s">
        <v>53</v>
      </c>
      <c r="C23" s="37">
        <v>0.121</v>
      </c>
      <c r="D23" s="38">
        <f>C$14*C23</f>
        <v>293.71985451265601</v>
      </c>
    </row>
    <row r="24" spans="1:4" ht="16.2" thickBot="1" x14ac:dyDescent="0.35">
      <c r="A24" s="224" t="s">
        <v>5</v>
      </c>
      <c r="B24" s="225"/>
      <c r="C24" s="40">
        <f>SUM(C22:C23)</f>
        <v>0.20429999999999998</v>
      </c>
      <c r="D24" s="41">
        <f>C$14*C24</f>
        <v>495.92534113169927</v>
      </c>
    </row>
    <row r="27" spans="1:4" x14ac:dyDescent="0.3">
      <c r="A27" s="229" t="s">
        <v>54</v>
      </c>
      <c r="B27" s="229"/>
      <c r="C27" s="229"/>
      <c r="D27" s="229"/>
    </row>
    <row r="28" spans="1:4" ht="16.2" thickBot="1" x14ac:dyDescent="0.35"/>
    <row r="29" spans="1:4" ht="16.2" thickBot="1" x14ac:dyDescent="0.35">
      <c r="A29" s="13" t="s">
        <v>55</v>
      </c>
      <c r="B29" s="55" t="s">
        <v>56</v>
      </c>
      <c r="C29" s="55" t="s">
        <v>57</v>
      </c>
      <c r="D29" s="55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584.67243105717625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73.084053882147032</v>
      </c>
    </row>
    <row r="32" spans="1:4" ht="16.2" thickBot="1" x14ac:dyDescent="0.35">
      <c r="A32" s="15" t="s">
        <v>41</v>
      </c>
      <c r="B32" s="16" t="s">
        <v>60</v>
      </c>
      <c r="C32" s="115">
        <f>'Posto 12x36 diurno ISS 2%'!C30</f>
        <v>0.03</v>
      </c>
      <c r="D32" s="38">
        <f t="shared" si="0"/>
        <v>87.700864658576435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43.850432329288218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29.233621552858814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17.540172931715286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5.846724310571763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233.86897242287051</v>
      </c>
    </row>
    <row r="38" spans="1:5" ht="16.2" thickBot="1" x14ac:dyDescent="0.35">
      <c r="A38" s="224" t="s">
        <v>64</v>
      </c>
      <c r="B38" s="225"/>
      <c r="C38" s="17">
        <f>SUM(C30:C37)</f>
        <v>0.36800000000000005</v>
      </c>
      <c r="D38" s="38">
        <f t="shared" si="0"/>
        <v>1075.7972731452044</v>
      </c>
      <c r="E38" s="68">
        <f>C38*C24</f>
        <v>7.5182399999999996E-2</v>
      </c>
    </row>
    <row r="41" spans="1:5" x14ac:dyDescent="0.3">
      <c r="A41" s="226" t="s">
        <v>65</v>
      </c>
      <c r="B41" s="226"/>
      <c r="C41" s="226"/>
    </row>
    <row r="42" spans="1:5" ht="16.2" thickBot="1" x14ac:dyDescent="0.35"/>
    <row r="43" spans="1:5" ht="16.2" thickBot="1" x14ac:dyDescent="0.35">
      <c r="A43" s="13" t="s">
        <v>66</v>
      </c>
      <c r="B43" s="55" t="s">
        <v>67</v>
      </c>
      <c r="C43" s="55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'Planlha de Apoio L13 - JBQ'!D14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'Planlha de Apoio L13 - JBQ'!D21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7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'Planlha de Apoio L13 - JBQ'!D25</f>
        <v>161.0915</v>
      </c>
    </row>
    <row r="48" spans="1:5" ht="16.2" thickBot="1" x14ac:dyDescent="0.35">
      <c r="A48" s="46" t="s">
        <v>43</v>
      </c>
      <c r="B48" s="118" t="s">
        <v>145</v>
      </c>
      <c r="C48" s="117"/>
    </row>
    <row r="49" spans="1:4" ht="16.2" thickBot="1" x14ac:dyDescent="0.35">
      <c r="A49" s="232" t="s">
        <v>5</v>
      </c>
      <c r="B49" s="233"/>
      <c r="C49" s="23">
        <f>SUM(C44:C48)</f>
        <v>1009.9431</v>
      </c>
    </row>
    <row r="52" spans="1:4" x14ac:dyDescent="0.3">
      <c r="A52" s="226" t="s">
        <v>69</v>
      </c>
      <c r="B52" s="226"/>
      <c r="C52" s="226"/>
    </row>
    <row r="53" spans="1:4" ht="16.2" thickBot="1" x14ac:dyDescent="0.35"/>
    <row r="54" spans="1:4" ht="16.2" thickBot="1" x14ac:dyDescent="0.35">
      <c r="A54" s="13">
        <v>2</v>
      </c>
      <c r="B54" s="55" t="s">
        <v>70</v>
      </c>
      <c r="C54" s="55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495.92534113169927</v>
      </c>
    </row>
    <row r="56" spans="1:4" ht="16.2" thickBot="1" x14ac:dyDescent="0.35">
      <c r="A56" s="15" t="s">
        <v>55</v>
      </c>
      <c r="B56" s="16" t="s">
        <v>56</v>
      </c>
      <c r="C56" s="23">
        <f>D38</f>
        <v>1075.7972731452044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224" t="s">
        <v>5</v>
      </c>
      <c r="B58" s="225"/>
      <c r="C58" s="23">
        <f>SUM(C55:C57)</f>
        <v>2581.6657142769036</v>
      </c>
    </row>
    <row r="59" spans="1:4" x14ac:dyDescent="0.3">
      <c r="A59" s="2"/>
    </row>
    <row r="61" spans="1:4" x14ac:dyDescent="0.3">
      <c r="A61" s="223" t="s">
        <v>71</v>
      </c>
      <c r="B61" s="223"/>
      <c r="C61" s="223"/>
    </row>
    <row r="62" spans="1:4" ht="16.2" thickBot="1" x14ac:dyDescent="0.35"/>
    <row r="63" spans="1:4" ht="16.2" thickBot="1" x14ac:dyDescent="0.35">
      <c r="A63" s="13">
        <v>3</v>
      </c>
      <c r="B63" s="55" t="s">
        <v>72</v>
      </c>
      <c r="C63" s="55" t="s">
        <v>57</v>
      </c>
      <c r="D63" s="55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10.195234619447563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0.81561876955580503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8.738772530955055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47.092274194591127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17.329956903609538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88.358700035212223</v>
      </c>
    </row>
    <row r="70" spans="1:4" ht="16.2" thickBot="1" x14ac:dyDescent="0.35">
      <c r="A70" s="224" t="s">
        <v>5</v>
      </c>
      <c r="B70" s="225"/>
      <c r="C70" s="27">
        <f>SUM(C64:C69)</f>
        <v>7.1075200000000005E-2</v>
      </c>
      <c r="D70" s="23">
        <f>SUM(D64:D69)</f>
        <v>172.5305570533713</v>
      </c>
    </row>
    <row r="73" spans="1:4" x14ac:dyDescent="0.3">
      <c r="A73" s="223" t="s">
        <v>79</v>
      </c>
      <c r="B73" s="223"/>
      <c r="C73" s="223"/>
    </row>
    <row r="76" spans="1:4" x14ac:dyDescent="0.3">
      <c r="A76" s="226" t="s">
        <v>80</v>
      </c>
      <c r="B76" s="226"/>
      <c r="C76" s="226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55" t="s">
        <v>82</v>
      </c>
      <c r="C78" s="55" t="s">
        <v>57</v>
      </c>
      <c r="D78" s="55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16.857200098292928</v>
      </c>
    </row>
    <row r="80" spans="1:4" ht="16.2" thickBot="1" x14ac:dyDescent="0.35">
      <c r="A80" s="15" t="s">
        <v>40</v>
      </c>
      <c r="B80" s="16" t="s">
        <v>82</v>
      </c>
      <c r="C80" s="119">
        <v>0.02</v>
      </c>
      <c r="D80" s="23">
        <f t="shared" si="1"/>
        <v>48.548736283083635</v>
      </c>
    </row>
    <row r="81" spans="1:7" ht="16.2" thickBot="1" x14ac:dyDescent="0.35">
      <c r="A81" s="15" t="s">
        <v>41</v>
      </c>
      <c r="B81" s="16" t="s">
        <v>83</v>
      </c>
      <c r="C81" s="119">
        <v>1.4999999999999999E-2</v>
      </c>
      <c r="D81" s="23">
        <f t="shared" si="1"/>
        <v>36.411552212312728</v>
      </c>
    </row>
    <row r="82" spans="1:7" ht="16.2" thickBot="1" x14ac:dyDescent="0.35">
      <c r="A82" s="15" t="s">
        <v>42</v>
      </c>
      <c r="B82" s="16" t="s">
        <v>84</v>
      </c>
      <c r="C82" s="119">
        <v>0.01</v>
      </c>
      <c r="D82" s="23">
        <f t="shared" si="1"/>
        <v>24.274368141541817</v>
      </c>
    </row>
    <row r="83" spans="1:7" ht="16.2" thickBot="1" x14ac:dyDescent="0.35">
      <c r="A83" s="15" t="s">
        <v>43</v>
      </c>
      <c r="B83" s="16" t="s">
        <v>85</v>
      </c>
      <c r="C83" s="119">
        <v>0.01</v>
      </c>
      <c r="D83" s="23">
        <f t="shared" si="1"/>
        <v>24.274368141541817</v>
      </c>
    </row>
    <row r="84" spans="1:7" ht="16.2" thickBot="1" x14ac:dyDescent="0.35">
      <c r="A84" s="15" t="s">
        <v>45</v>
      </c>
      <c r="B84" s="120" t="s">
        <v>47</v>
      </c>
      <c r="C84" s="119">
        <v>0</v>
      </c>
      <c r="D84" s="23">
        <f t="shared" si="1"/>
        <v>0</v>
      </c>
    </row>
    <row r="85" spans="1:7" ht="16.2" thickBot="1" x14ac:dyDescent="0.35">
      <c r="A85" s="224" t="s">
        <v>64</v>
      </c>
      <c r="B85" s="225"/>
      <c r="C85" s="27">
        <f>SUM(C79:C84)</f>
        <v>6.1944444444444448E-2</v>
      </c>
      <c r="D85" s="23">
        <f t="shared" si="1"/>
        <v>150.36622487677295</v>
      </c>
    </row>
    <row r="86" spans="1:7" x14ac:dyDescent="0.3">
      <c r="C86" s="53">
        <f>C24+C38+C70+C85+E38</f>
        <v>0.78050204444444449</v>
      </c>
    </row>
    <row r="88" spans="1:7" x14ac:dyDescent="0.3">
      <c r="A88" s="226" t="s">
        <v>86</v>
      </c>
      <c r="B88" s="226"/>
      <c r="C88" s="226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55" t="s">
        <v>129</v>
      </c>
      <c r="C90" s="55" t="s">
        <v>37</v>
      </c>
      <c r="D90" s="79"/>
      <c r="E90" s="79"/>
      <c r="F90" s="70">
        <f>C10+C11</f>
        <v>2399.2280000000001</v>
      </c>
      <c r="G90" s="79"/>
    </row>
    <row r="91" spans="1:7" ht="16.2" thickBot="1" x14ac:dyDescent="0.35">
      <c r="A91" s="15" t="s">
        <v>38</v>
      </c>
      <c r="B91" s="16" t="s">
        <v>102</v>
      </c>
      <c r="C91" s="52">
        <f>F93*0.5</f>
        <v>191.93824000000004</v>
      </c>
      <c r="D91" s="79"/>
      <c r="E91" s="79"/>
      <c r="F91" s="70">
        <f>F90/220</f>
        <v>10.905581818181819</v>
      </c>
      <c r="G91" s="79"/>
    </row>
    <row r="92" spans="1:7" ht="16.2" thickBot="1" x14ac:dyDescent="0.35">
      <c r="A92" s="224" t="s">
        <v>5</v>
      </c>
      <c r="B92" s="225"/>
      <c r="C92" s="52">
        <f>C91</f>
        <v>191.93824000000004</v>
      </c>
      <c r="D92" s="79"/>
      <c r="E92" s="79"/>
      <c r="F92" s="70">
        <f>F91*1.6</f>
        <v>17.448930909090912</v>
      </c>
      <c r="G92" s="79"/>
    </row>
    <row r="93" spans="1:7" x14ac:dyDescent="0.3">
      <c r="D93" s="79"/>
      <c r="E93" s="79"/>
      <c r="F93" s="70">
        <f>F92*22</f>
        <v>383.87648000000007</v>
      </c>
      <c r="G93" s="79"/>
    </row>
    <row r="94" spans="1:7" x14ac:dyDescent="0.3">
      <c r="D94" s="79"/>
      <c r="E94" s="79"/>
      <c r="F94" s="79"/>
      <c r="G94" s="79"/>
    </row>
    <row r="95" spans="1:7" x14ac:dyDescent="0.3">
      <c r="A95" s="226" t="s">
        <v>89</v>
      </c>
      <c r="B95" s="226"/>
      <c r="C95" s="226"/>
      <c r="D95" s="79"/>
      <c r="E95" s="79"/>
      <c r="F95" s="79"/>
      <c r="G95" s="79"/>
    </row>
    <row r="96" spans="1:7" ht="16.2" thickBot="1" x14ac:dyDescent="0.35">
      <c r="A96" s="12"/>
      <c r="D96" s="79"/>
      <c r="E96" s="79"/>
      <c r="F96" s="79"/>
      <c r="G96" s="79"/>
    </row>
    <row r="97" spans="1:7" ht="16.2" thickBot="1" x14ac:dyDescent="0.35">
      <c r="A97" s="13">
        <v>4</v>
      </c>
      <c r="B97" s="55" t="s">
        <v>90</v>
      </c>
      <c r="C97" s="55" t="s">
        <v>37</v>
      </c>
      <c r="D97" s="79"/>
      <c r="E97" s="79"/>
      <c r="F97" s="79"/>
      <c r="G97" s="79"/>
    </row>
    <row r="98" spans="1:7" ht="16.2" thickBot="1" x14ac:dyDescent="0.35">
      <c r="A98" s="15" t="s">
        <v>81</v>
      </c>
      <c r="B98" s="16" t="s">
        <v>82</v>
      </c>
      <c r="C98" s="23">
        <f>D85</f>
        <v>150.36622487677295</v>
      </c>
    </row>
    <row r="99" spans="1:7" ht="16.2" thickBot="1" x14ac:dyDescent="0.35">
      <c r="A99" s="15" t="s">
        <v>87</v>
      </c>
      <c r="B99" s="16" t="s">
        <v>88</v>
      </c>
      <c r="C99" s="23">
        <f>C92</f>
        <v>191.93824000000004</v>
      </c>
    </row>
    <row r="100" spans="1:7" ht="16.2" thickBot="1" x14ac:dyDescent="0.35">
      <c r="A100" s="224" t="s">
        <v>5</v>
      </c>
      <c r="B100" s="225"/>
      <c r="C100" s="39">
        <f>C98+C99</f>
        <v>342.30446487677295</v>
      </c>
    </row>
    <row r="103" spans="1:7" x14ac:dyDescent="0.3">
      <c r="A103" s="223" t="s">
        <v>91</v>
      </c>
      <c r="B103" s="223"/>
      <c r="C103" s="223"/>
    </row>
    <row r="104" spans="1:7" ht="16.2" thickBot="1" x14ac:dyDescent="0.35"/>
    <row r="105" spans="1:7" ht="16.2" thickBot="1" x14ac:dyDescent="0.35">
      <c r="A105" s="13">
        <v>5</v>
      </c>
      <c r="B105" s="19" t="s">
        <v>22</v>
      </c>
      <c r="C105" s="55" t="s">
        <v>37</v>
      </c>
    </row>
    <row r="106" spans="1:7" ht="16.2" thickBot="1" x14ac:dyDescent="0.35">
      <c r="A106" s="15" t="s">
        <v>38</v>
      </c>
      <c r="B106" s="16" t="s">
        <v>92</v>
      </c>
      <c r="C106" s="117">
        <f>'Planlha de Apoio L13 - JBQ'!C46</f>
        <v>103.33333333333333</v>
      </c>
    </row>
    <row r="107" spans="1:7" ht="16.2" thickBot="1" x14ac:dyDescent="0.35">
      <c r="A107" s="15" t="s">
        <v>40</v>
      </c>
      <c r="B107" s="16" t="s">
        <v>93</v>
      </c>
      <c r="C107" s="117">
        <f>'Planlha de Apoio L13 - JBQ'!D34</f>
        <v>72.938749999999999</v>
      </c>
    </row>
    <row r="108" spans="1:7" ht="16.2" thickBot="1" x14ac:dyDescent="0.35">
      <c r="A108" s="15" t="s">
        <v>41</v>
      </c>
      <c r="B108" s="120" t="s">
        <v>146</v>
      </c>
      <c r="C108" s="117"/>
    </row>
    <row r="109" spans="1:7" ht="16.2" thickBot="1" x14ac:dyDescent="0.35">
      <c r="A109" s="15" t="s">
        <v>42</v>
      </c>
      <c r="B109" s="120" t="s">
        <v>146</v>
      </c>
      <c r="C109" s="117"/>
    </row>
    <row r="110" spans="1:7" ht="16.2" thickBot="1" x14ac:dyDescent="0.35">
      <c r="A110" s="224" t="s">
        <v>64</v>
      </c>
      <c r="B110" s="225"/>
      <c r="C110" s="23">
        <f>SUM(C106:C109)</f>
        <v>176.27208333333334</v>
      </c>
    </row>
    <row r="113" spans="1:4" x14ac:dyDescent="0.3">
      <c r="A113" s="223" t="s">
        <v>94</v>
      </c>
      <c r="B113" s="223"/>
      <c r="C113" s="223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55" t="s">
        <v>57</v>
      </c>
      <c r="D115" s="55" t="s">
        <v>37</v>
      </c>
    </row>
    <row r="116" spans="1:4" ht="16.2" thickBot="1" x14ac:dyDescent="0.35">
      <c r="A116" s="15" t="s">
        <v>38</v>
      </c>
      <c r="B116" s="43" t="s">
        <v>24</v>
      </c>
      <c r="C116" s="116">
        <f>'Posto 12x36 diurno ISS 2%'!C114</f>
        <v>0.1</v>
      </c>
      <c r="D116" s="45">
        <f>C116*C135</f>
        <v>570.02096336945624</v>
      </c>
    </row>
    <row r="117" spans="1:4" ht="16.2" thickBot="1" x14ac:dyDescent="0.35">
      <c r="A117" s="15" t="s">
        <v>40</v>
      </c>
      <c r="B117" s="43" t="s">
        <v>26</v>
      </c>
      <c r="C117" s="116">
        <f>C116</f>
        <v>0.1</v>
      </c>
      <c r="D117" s="45">
        <f>C117*(C135+D116)</f>
        <v>627.02305970640191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251.74975847212036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206.91760970311262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44.832148769007738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137.94507313540842</v>
      </c>
    </row>
    <row r="124" spans="1:4" ht="16.2" thickBot="1" x14ac:dyDescent="0.35">
      <c r="A124" s="227" t="s">
        <v>64</v>
      </c>
      <c r="B124" s="228"/>
      <c r="C124" s="44">
        <f>C116+C117+C119+C122+C123</f>
        <v>0.25650000000000001</v>
      </c>
      <c r="D124" s="45">
        <f>D116+D117+D119+D122+D123</f>
        <v>1586.738854683387</v>
      </c>
    </row>
    <row r="127" spans="1:4" x14ac:dyDescent="0.3">
      <c r="A127" s="223" t="s">
        <v>95</v>
      </c>
      <c r="B127" s="223"/>
      <c r="C127" s="223"/>
    </row>
    <row r="128" spans="1:4" ht="16.2" thickBot="1" x14ac:dyDescent="0.35"/>
    <row r="129" spans="1:3" ht="16.2" thickBot="1" x14ac:dyDescent="0.35">
      <c r="A129" s="13"/>
      <c r="B129" s="55" t="s">
        <v>96</v>
      </c>
      <c r="C129" s="55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2427.4368141541818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2581.6657142769036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172.5305570533713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342.30446487677295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2" thickBot="1" x14ac:dyDescent="0.35">
      <c r="A135" s="224" t="s">
        <v>97</v>
      </c>
      <c r="B135" s="225"/>
      <c r="C135" s="42">
        <f>SUM(C130:C134)</f>
        <v>5700.2096336945624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1586.738854683387</v>
      </c>
    </row>
    <row r="137" spans="1:3" x14ac:dyDescent="0.3">
      <c r="A137" s="221" t="s">
        <v>99</v>
      </c>
      <c r="B137" s="222"/>
      <c r="C137" s="49">
        <f>C135+C136</f>
        <v>7286.9484883779496</v>
      </c>
    </row>
    <row r="138" spans="1:3" x14ac:dyDescent="0.3">
      <c r="A138" s="218" t="s">
        <v>118</v>
      </c>
      <c r="B138" s="219"/>
      <c r="C138" s="51">
        <v>2</v>
      </c>
    </row>
    <row r="139" spans="1:3" ht="16.2" thickBot="1" x14ac:dyDescent="0.35">
      <c r="A139" s="220" t="s">
        <v>119</v>
      </c>
      <c r="B139" s="220"/>
      <c r="C139" s="50">
        <f>C137*C138</f>
        <v>14573.896976755899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5</vt:i4>
      </vt:variant>
    </vt:vector>
  </HeadingPairs>
  <TitlesOfParts>
    <vt:vector size="23" baseType="lpstr">
      <vt:lpstr>Resumo postos</vt:lpstr>
      <vt:lpstr>Posto 12x36 diurno ISS 2%</vt:lpstr>
      <vt:lpstr>Posto 12x36 noturno ISS 2%</vt:lpstr>
      <vt:lpstr>Posto 12x36 diurno ISS 3%</vt:lpstr>
      <vt:lpstr>Posto 12x36 noturno ISS 3%</vt:lpstr>
      <vt:lpstr>Planilha de Apoio - P 12 x 36</vt:lpstr>
      <vt:lpstr>SEDE Seg Sex Líder 44h</vt:lpstr>
      <vt:lpstr>Planilha de Apoio Sede Líder</vt:lpstr>
      <vt:lpstr>L13 - JBQ - Seg Sab</vt:lpstr>
      <vt:lpstr>Planlha de Apoio L13 - JBQ</vt:lpstr>
      <vt:lpstr>PRI - Moto</vt:lpstr>
      <vt:lpstr>Planilha de Apoio - PRI Moto</vt:lpstr>
      <vt:lpstr>SAD - Seg Sex</vt:lpstr>
      <vt:lpstr>Planilha de Apoio - SAD Seg Sex</vt:lpstr>
      <vt:lpstr>SBC - Seg Sáb</vt:lpstr>
      <vt:lpstr>Planilha de Apoio - SBC Seg Sáb</vt:lpstr>
      <vt:lpstr>TBS - Seg Sex Moto</vt:lpstr>
      <vt:lpstr>Planilha de Apoio - TBS Seg Sex</vt:lpstr>
      <vt:lpstr>'L13 - JBQ - Seg Sab'!Area_de_impressao</vt:lpstr>
      <vt:lpstr>'Planilha de Apoio Sede Líder'!Area_de_impressao</vt:lpstr>
      <vt:lpstr>'Posto 12x36 diurno ISS 2%'!Area_de_impressao</vt:lpstr>
      <vt:lpstr>'Posto 12x36 noturno ISS 2%'!Area_de_impressao</vt:lpstr>
      <vt:lpstr>'SEDE Seg Sex Líder 44h'!Area_de_impressao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2022-02-24T20:14:03Z</dcterms:modified>
</cp:coreProperties>
</file>